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comments1.xml" ContentType="application/vnd.openxmlformats-officedocument.spreadsheetml.comments+xml"/>
  <Override PartName="/xl/threadedComments/threadedComment1.xml" ContentType="application/vnd.ms-excel.threadedcomments+xml"/>
  <Override PartName="/xl/persons/person.xml" ContentType="application/vnd.ms-excel.person+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30131"/>
  <workbookPr codeName="ThisWorkbook" defaultThemeVersion="166925"/>
  <mc:AlternateContent xmlns:mc="http://schemas.openxmlformats.org/markup-compatibility/2006">
    <mc:Choice Requires="x15">
      <x15ac:absPath xmlns:x15ac="http://schemas.microsoft.com/office/spreadsheetml/2010/11/ac" url="S:\D-DEV-PLA\D04 Residential Development\PLNING\Affordable Housing\Affordable Housing Master Plan - Implementation\Municipal Capital Facility By-law\Program Materials\Project Information Spreadsheet\"/>
    </mc:Choice>
  </mc:AlternateContent>
  <xr:revisionPtr revIDLastSave="0" documentId="13_ncr:1_{93397F29-04ED-4A3F-A83E-A45BCB84AFBB}" xr6:coauthVersionLast="47" xr6:coauthVersionMax="47" xr10:uidLastSave="{00000000-0000-0000-0000-000000000000}"/>
  <bookViews>
    <workbookView xWindow="-28920" yWindow="-2235" windowWidth="29040" windowHeight="15720" firstSheet="1" activeTab="3" xr2:uid="{A5DAC715-DF4E-4548-A5C8-645D5AEF8810}"/>
  </bookViews>
  <sheets>
    <sheet name="Overview" sheetId="18" r:id="rId1"/>
    <sheet name="1. Application Info" sheetId="3" r:id="rId2"/>
    <sheet name="2. Capital Budget " sheetId="11" r:id="rId3"/>
    <sheet name="3. Proposed Rents" sheetId="14" r:id="rId4"/>
    <sheet name="4. Operating Budget" sheetId="12" r:id="rId5"/>
    <sheet name="NOIBased" sheetId="7" state="hidden" r:id="rId6"/>
    <sheet name="2021Applications" sheetId="10" state="hidden" r:id="rId7"/>
  </sheets>
  <definedNames>
    <definedName name="Parkland" localSheetId="4" hidden="1">{#N/A,#N/A,TRUE,"Summary";#N/A,#N/A,TRUE,"Large Rev";#N/A,#N/A,TRUE,"Mid Rev";#N/A,#N/A,TRUE,"Small Rev";#N/A,#N/A,TRUE,"Stud Rev";#N/A,#N/A,TRUE,"Salaries";#N/A,#N/A,TRUE,"Adm &amp; Fin"}</definedName>
    <definedName name="Parkland" hidden="1">{#N/A,#N/A,TRUE,"Summary";#N/A,#N/A,TRUE,"Large Rev";#N/A,#N/A,TRUE,"Mid Rev";#N/A,#N/A,TRUE,"Small Rev";#N/A,#N/A,TRUE,"Stud Rev";#N/A,#N/A,TRUE,"Salaries";#N/A,#N/A,TRUE,"Adm &amp; Fin"}</definedName>
    <definedName name="wrn.Sacramento._.Operating._.Projections." localSheetId="4" hidden="1">{#N/A,#N/A,TRUE,"Summary";#N/A,#N/A,TRUE,"Large Rev";#N/A,#N/A,TRUE,"Mid Rev";#N/A,#N/A,TRUE,"Small Rev";#N/A,#N/A,TRUE,"Stud Rev";#N/A,#N/A,TRUE,"Salaries";#N/A,#N/A,TRUE,"Adm &amp; Fin"}</definedName>
    <definedName name="wrn.Sacramento._.Operating._.Projections." hidden="1">{#N/A,#N/A,TRUE,"Summary";#N/A,#N/A,TRUE,"Large Rev";#N/A,#N/A,TRUE,"Mid Rev";#N/A,#N/A,TRUE,"Small Rev";#N/A,#N/A,TRUE,"Stud Rev";#N/A,#N/A,TRUE,"Salaries";#N/A,#N/A,TRUE,"Adm &amp; Fin"}</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B10" i="14" l="1"/>
  <c r="B5" i="12"/>
  <c r="B6" i="12"/>
  <c r="B7" i="12"/>
  <c r="B8" i="12"/>
  <c r="B9" i="12"/>
  <c r="B11" i="11"/>
  <c r="B7" i="11" s="1"/>
  <c r="B25" i="11" s="1"/>
  <c r="B32" i="11" s="1"/>
  <c r="B4" i="12" l="1"/>
  <c r="B26" i="14"/>
  <c r="B25" i="14"/>
  <c r="B27" i="14"/>
  <c r="B24" i="14"/>
  <c r="B16" i="14" l="1"/>
  <c r="C16" i="14" s="1"/>
  <c r="D16" i="14" l="1"/>
  <c r="B40" i="11" l="1"/>
  <c r="B42" i="11" s="1"/>
  <c r="B46" i="11" l="1"/>
  <c r="C10" i="14"/>
  <c r="D10" i="14"/>
  <c r="B23" i="14"/>
  <c r="C25" i="14" s="1"/>
  <c r="C24" i="14" l="1"/>
  <c r="C27" i="14"/>
  <c r="C26" i="14"/>
  <c r="M71" i="10" l="1"/>
  <c r="L71" i="10"/>
  <c r="M69" i="10"/>
  <c r="L69" i="10"/>
  <c r="M46" i="10"/>
  <c r="L46" i="10"/>
  <c r="M44" i="10"/>
  <c r="L44" i="10"/>
  <c r="M21" i="10"/>
  <c r="L21" i="10"/>
  <c r="M19" i="10"/>
  <c r="L19" i="10"/>
  <c r="C71" i="10"/>
  <c r="C46" i="10"/>
  <c r="B71" i="10"/>
  <c r="B46" i="10"/>
  <c r="C44" i="10"/>
  <c r="B44" i="10"/>
  <c r="M62" i="10"/>
  <c r="L62" i="10"/>
  <c r="C62" i="10"/>
  <c r="B62" i="10"/>
  <c r="R69" i="10" l="1"/>
  <c r="Q69" i="10"/>
  <c r="Q71" i="10" s="1"/>
  <c r="M63" i="10"/>
  <c r="M67" i="10" s="1"/>
  <c r="L63" i="10"/>
  <c r="L67" i="10" s="1"/>
  <c r="C63" i="10"/>
  <c r="M72" i="10" l="1"/>
  <c r="L72" i="10"/>
  <c r="N76" i="10" l="1"/>
  <c r="N77" i="10" s="1"/>
  <c r="Q67" i="10" l="1"/>
  <c r="Q73" i="10" s="1"/>
  <c r="Q75" i="10" s="1"/>
  <c r="M37" i="10" l="1"/>
  <c r="L37" i="10"/>
  <c r="M12" i="10" l="1"/>
  <c r="L12" i="10"/>
  <c r="H69" i="10" l="1"/>
  <c r="G69" i="10"/>
  <c r="G71" i="10" s="1"/>
  <c r="C67" i="10"/>
  <c r="C69" i="10" s="1"/>
  <c r="B63" i="10"/>
  <c r="B67" i="10" s="1"/>
  <c r="B69" i="10" s="1"/>
  <c r="B72" i="10" s="1"/>
  <c r="R44" i="10"/>
  <c r="M38" i="10"/>
  <c r="M42" i="10" s="1"/>
  <c r="M47" i="10" s="1"/>
  <c r="L38" i="10"/>
  <c r="L42" i="10" s="1"/>
  <c r="L47" i="10" s="1"/>
  <c r="R19" i="10"/>
  <c r="Q19" i="10"/>
  <c r="Q21" i="10" s="1"/>
  <c r="M13" i="10"/>
  <c r="M17" i="10" s="1"/>
  <c r="L13" i="10"/>
  <c r="L17" i="10" s="1"/>
  <c r="G44" i="10"/>
  <c r="G46" i="10" s="1"/>
  <c r="C37" i="10"/>
  <c r="B37" i="10"/>
  <c r="H44" i="10"/>
  <c r="C38" i="10"/>
  <c r="C42" i="10" s="1"/>
  <c r="B38" i="10"/>
  <c r="B42" i="10" s="1"/>
  <c r="B47" i="10" s="1"/>
  <c r="B12" i="10"/>
  <c r="B13" i="10" s="1"/>
  <c r="B17" i="10" s="1"/>
  <c r="C12" i="10"/>
  <c r="C13" i="10" s="1"/>
  <c r="C17" i="10" s="1"/>
  <c r="H19" i="10"/>
  <c r="G12" i="10"/>
  <c r="G11" i="10"/>
  <c r="C29" i="7"/>
  <c r="C30" i="7" s="1"/>
  <c r="B6" i="7"/>
  <c r="B7" i="7" s="1"/>
  <c r="F41" i="7"/>
  <c r="B29" i="7"/>
  <c r="B30" i="7" s="1"/>
  <c r="B31" i="7" s="1"/>
  <c r="B33" i="7" s="1"/>
  <c r="H29" i="7"/>
  <c r="L13" i="7"/>
  <c r="B20" i="7"/>
  <c r="K13" i="7" s="1"/>
  <c r="K16" i="7" s="1"/>
  <c r="G19" i="10" l="1"/>
  <c r="G21" i="10" s="1"/>
  <c r="B35" i="7"/>
  <c r="B37" i="7" s="1"/>
  <c r="B39" i="7" s="1"/>
  <c r="B41" i="7" s="1"/>
  <c r="B19" i="10"/>
  <c r="B21" i="10" s="1"/>
  <c r="B22" i="10" s="1"/>
  <c r="C19" i="10"/>
  <c r="C21" i="10" s="1"/>
  <c r="C22" i="10" s="1"/>
  <c r="M22" i="10"/>
  <c r="C72" i="10"/>
  <c r="D76" i="10" s="1"/>
  <c r="D77" i="10" s="1"/>
  <c r="L22" i="10"/>
  <c r="C47" i="10"/>
  <c r="D51" i="10" s="1"/>
  <c r="G42" i="10" s="1"/>
  <c r="G48" i="10" s="1"/>
  <c r="G50" i="10" s="1"/>
  <c r="Q44" i="10"/>
  <c r="Q46" i="10" s="1"/>
  <c r="N51" i="10"/>
  <c r="C31" i="7"/>
  <c r="C33" i="7" s="1"/>
  <c r="I15" i="7"/>
  <c r="I17" i="7" s="1"/>
  <c r="E16" i="7"/>
  <c r="D16" i="7"/>
  <c r="H6" i="7"/>
  <c r="H5" i="7"/>
  <c r="B18" i="7"/>
  <c r="N26" i="10" l="1"/>
  <c r="Q17" i="10" s="1"/>
  <c r="G67" i="10"/>
  <c r="G73" i="10" s="1"/>
  <c r="G75" i="10" s="1"/>
  <c r="N52" i="10"/>
  <c r="Q42" i="10"/>
  <c r="Q48" i="10" s="1"/>
  <c r="Q50" i="10" s="1"/>
  <c r="D52" i="10"/>
  <c r="C35" i="7"/>
  <c r="C37" i="7" s="1"/>
  <c r="C39" i="7" s="1"/>
  <c r="C41" i="7" s="1"/>
  <c r="D13" i="7"/>
  <c r="H28" i="7" s="1"/>
  <c r="H31" i="7" s="1"/>
  <c r="E13" i="7"/>
  <c r="B8" i="7"/>
  <c r="N27" i="10" l="1"/>
  <c r="Q23" i="10"/>
  <c r="Q25" i="10" s="1"/>
  <c r="I28" i="7"/>
  <c r="I31" i="7" s="1"/>
  <c r="I33" i="7" s="1"/>
  <c r="E29" i="7"/>
  <c r="E32" i="7" l="1"/>
  <c r="E33" i="7" s="1"/>
  <c r="E30" i="7"/>
  <c r="H3" i="7" l="1"/>
  <c r="H15" i="7" s="1"/>
  <c r="R71" i="10" l="1"/>
  <c r="H71" i="10"/>
  <c r="H21" i="10"/>
  <c r="R46" i="10"/>
  <c r="R21" i="10"/>
  <c r="H46" i="10"/>
  <c r="H17" i="7"/>
  <c r="B10" i="12" l="1"/>
  <c r="B9" i="7" a="1"/>
  <c r="B9" i="7" s="1"/>
  <c r="B10" i="7" s="1"/>
  <c r="B12" i="7" s="1"/>
  <c r="B14" i="7" s="1"/>
  <c r="B23" i="7" s="1"/>
  <c r="B13" i="12" l="1"/>
  <c r="B18" i="12" s="1"/>
  <c r="B16" i="12" l="1"/>
  <c r="B4" i="7"/>
  <c r="B23" i="12" l="1"/>
  <c r="B24" i="12"/>
  <c r="B24" i="7"/>
  <c r="B19" i="7"/>
  <c r="B17" i="7" s="1"/>
  <c r="E17" i="7" l="1"/>
  <c r="E14" i="7" s="1"/>
  <c r="E26" i="7" s="1"/>
  <c r="D17" i="7"/>
  <c r="D14" i="7" s="1"/>
  <c r="B16" i="7"/>
  <c r="D26" i="7" l="1"/>
  <c r="H13" i="7" s="1"/>
  <c r="D23" i="7"/>
  <c r="D24" i="7" s="1"/>
  <c r="D26" i="10"/>
  <c r="D27" i="10" s="1"/>
  <c r="E23" i="7"/>
  <c r="E24" i="7" s="1"/>
  <c r="G17" i="10" l="1"/>
  <c r="G23" i="10" s="1"/>
  <c r="G25" i="10" s="1"/>
  <c r="I13" i="7"/>
  <c r="H19" i="7" l="1"/>
  <c r="H21" i="7" s="1"/>
  <c r="I19" i="7"/>
  <c r="I21" i="7" s="1"/>
  <c r="B3" i="7" l="1"/>
  <c r="C43" i="7" l="1"/>
  <c r="C45" i="7" s="1"/>
  <c r="B43" i="7"/>
  <c r="B45" i="7" s="1"/>
  <c r="D45" i="7" l="1"/>
  <c r="D47" i="7" s="1"/>
</calcChain>
</file>

<file path=xl/comments1.xml><?xml version="1.0" encoding="utf-8"?>
<comments xmlns="http://schemas.openxmlformats.org/spreadsheetml/2006/main" xmlns:mc="http://schemas.openxmlformats.org/markup-compatibility/2006" xmlns:xr="http://schemas.microsoft.com/office/spreadsheetml/2014/revision" mc:Ignorable="xr">
  <authors>
    <author>tc={B8FF6375-4870-4CF0-8D38-B02ED58E4CBF}</author>
  </authors>
  <commentList>
    <comment ref="A7" authorId="0" shapeId="0" xr:uid="{B8FF6375-4870-4CF0-8D38-B02ED58E4CBF}">
      <text>
        <t>[Threaded comment]
Your version of Excel allows you to read this threaded comment; however, any edits to it will get removed if the file is opened in a newer version of Excel. Learn more: https://go.microsoft.com/fwlink/?linkid=870924
Comment:
    Vacancy Loss also applies to Misc. Income</t>
      </text>
    </comment>
  </commentList>
</comments>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<sst xmlns="http://schemas.openxmlformats.org/spreadsheetml/2006/main" count="377" uniqueCount="203">
  <si>
    <t>Peel Affordable Rental Incentives Program (2023)</t>
  </si>
  <si>
    <t>B. Project Information Spreadsheet</t>
  </si>
  <si>
    <r>
      <t>Applicants are required to review all Peel Affordable Rental Incentives Program Call for Applications Materials:  </t>
    </r>
    <r>
      <rPr>
        <sz val="12"/>
        <color rgb="FF000000"/>
        <rFont val="Calibri"/>
        <family val="2"/>
        <scheme val="minor"/>
      </rPr>
      <t> </t>
    </r>
  </si>
  <si>
    <t>Document</t>
  </si>
  <si>
    <t>Description</t>
  </si>
  <si>
    <t>A.     Guidelines and Application Requirements</t>
  </si>
  <si>
    <t xml:space="preserve">An overview of the Peel Affordable Rental Incentives Program and an outline of supplementary documentation required as part of a complete application.  </t>
  </si>
  <si>
    <t>Available at Peel’s Program website.</t>
  </si>
  <si>
    <t>B.     Project Information Spreadsheet</t>
  </si>
  <si>
    <t xml:space="preserve">Excel template to be used to provide project budget and rental rate information as part of a complete application.  </t>
  </si>
  <si>
    <t>(current document)</t>
  </si>
  <si>
    <r>
      <t>C.</t>
    </r>
    <r>
      <rPr>
        <sz val="7"/>
        <color rgb="FF000000"/>
        <rFont val="Times New Roman"/>
        <family val="1"/>
      </rPr>
      <t xml:space="preserve">     </t>
    </r>
    <r>
      <rPr>
        <sz val="11"/>
        <color rgb="FF000000"/>
        <rFont val="Calibri"/>
        <family val="2"/>
        <charset val="1"/>
        <scheme val="minor"/>
      </rPr>
      <t>Application Summary, Terms and Conditions</t>
    </r>
  </si>
  <si>
    <t xml:space="preserve">An overview of the application, Applicant declaration and required Terms and Conditions as part of a complete application.   </t>
  </si>
  <si>
    <t>D.     Template Contribution Agreement</t>
  </si>
  <si>
    <t xml:space="preserve">The Template Contribution Agreement provides the terms and conditions under which the Region of Peel will provide funding assistance to successful Applicants. Successful Applicants will be required to execute a Contribution Agreement with the Regional Municipality of Peel in substantially the same form as the Template Contribution Agreement. Applicants must review and agree to the terms and conditions as outlined.   </t>
  </si>
  <si>
    <t>E.      Addenda </t>
  </si>
  <si>
    <t xml:space="preserve">In case of any revisions to this Call for Applications, Addenda may be posted on Peel’s Pilot Program website in accordance with the Call for Applications Terms and Conditions. </t>
  </si>
  <si>
    <t xml:space="preserve">Applicants are encouraged to check the website regularly, in case of Addenda being added throughout the Call for Applications.   </t>
  </si>
  <si>
    <t>1. Application Information</t>
  </si>
  <si>
    <t> </t>
  </si>
  <si>
    <t>Fillable</t>
  </si>
  <si>
    <t>General Information</t>
  </si>
  <si>
    <t xml:space="preserve">Calculation - Office Use Only </t>
  </si>
  <si>
    <t>Applicant Information</t>
  </si>
  <si>
    <t>Project Description</t>
  </si>
  <si>
    <t>Mississauga</t>
  </si>
  <si>
    <t>Brampton</t>
  </si>
  <si>
    <t>Caledon</t>
  </si>
  <si>
    <t>Municipal Address</t>
  </si>
  <si>
    <t>Simple</t>
  </si>
  <si>
    <t>Moderately Complex</t>
  </si>
  <si>
    <t>Very Complex</t>
  </si>
  <si>
    <t>% of Gross Floor Area of Non-Residential uses</t>
  </si>
  <si>
    <t>Parking Solutions</t>
  </si>
  <si>
    <t>Total Number of Parking Spaces to be Constructed</t>
  </si>
  <si>
    <t>Parking configuration (indicate if surface parking, underground parking, structured parking, or combination thereof)</t>
  </si>
  <si>
    <t>Other Funding Sources</t>
  </si>
  <si>
    <t>3. Capital Budget and Revenue</t>
  </si>
  <si>
    <t>Capital Budget</t>
  </si>
  <si>
    <t>Budget ($)</t>
  </si>
  <si>
    <t>Notes (please include description of assumptions used to arrive at costs and any additional explanatory information).</t>
  </si>
  <si>
    <t>COSTS</t>
  </si>
  <si>
    <t>Land</t>
  </si>
  <si>
    <t>Estimated value of the land (before building permit is issued) per above grade GFA.</t>
  </si>
  <si>
    <t>Hard</t>
  </si>
  <si>
    <t>Soft</t>
  </si>
  <si>
    <t>Financing Costs</t>
  </si>
  <si>
    <t>Fees and Permits</t>
  </si>
  <si>
    <r>
      <rPr>
        <b/>
        <sz val="10"/>
        <color rgb="FF000000"/>
        <rFont val="Calibri"/>
        <family val="2"/>
      </rPr>
      <t>Note:</t>
    </r>
    <r>
      <rPr>
        <sz val="10"/>
        <color rgb="FF000000"/>
        <rFont val="Calibri"/>
        <family val="2"/>
      </rPr>
      <t xml:space="preserve"> In this section, please provide anticipated fees </t>
    </r>
    <r>
      <rPr>
        <b/>
        <u/>
        <sz val="10"/>
        <color rgb="FF000000"/>
        <rFont val="Calibri"/>
        <family val="2"/>
      </rPr>
      <t xml:space="preserve">before </t>
    </r>
    <r>
      <rPr>
        <sz val="10"/>
        <color rgb="FF000000"/>
        <rFont val="Calibri"/>
        <family val="2"/>
      </rPr>
      <t xml:space="preserve">applying any discounts/exemptions for which the project may be eligible under recent </t>
    </r>
    <r>
      <rPr>
        <i/>
        <sz val="10"/>
        <color rgb="FF000000"/>
        <rFont val="Calibri"/>
        <family val="2"/>
      </rPr>
      <t xml:space="preserve">DC Act </t>
    </r>
    <r>
      <rPr>
        <sz val="10"/>
        <color rgb="FF000000"/>
        <rFont val="Calibri"/>
        <family val="2"/>
      </rPr>
      <t xml:space="preserve">changes through the </t>
    </r>
    <r>
      <rPr>
        <i/>
        <sz val="10"/>
        <color rgb="FF000000"/>
        <rFont val="Calibri"/>
        <family val="2"/>
      </rPr>
      <t>More Homes Built Faster Act, 2022</t>
    </r>
    <r>
      <rPr>
        <sz val="10"/>
        <color rgb="FF000000"/>
        <rFont val="Calibri"/>
        <family val="2"/>
      </rPr>
      <t xml:space="preserve"> (Bill 23). 
i.e., DO NOT include any discount in development charges based on unit type for rental housing; or potential exemptions from development charges, parkland requirements, community benefits charges for units that meet the </t>
    </r>
    <r>
      <rPr>
        <i/>
        <sz val="10"/>
        <color rgb="FF000000"/>
        <rFont val="Calibri"/>
        <family val="2"/>
      </rPr>
      <t>DC Act</t>
    </r>
    <r>
      <rPr>
        <sz val="10"/>
        <color rgb="FF000000"/>
        <rFont val="Calibri"/>
        <family val="2"/>
      </rPr>
      <t xml:space="preserve"> definition of "affordable residential unit" (not yet in force - estimate may be required)</t>
    </r>
  </si>
  <si>
    <t>Development Charges - County of Simcoe (excluding any discounts)</t>
  </si>
  <si>
    <t>Development Charges - Town of Collingwood (excluding any discounts)</t>
  </si>
  <si>
    <t>Development Charges - Education</t>
  </si>
  <si>
    <t>Planning Application Fees</t>
  </si>
  <si>
    <t>Building Permit Application Fees</t>
  </si>
  <si>
    <t>Furniture, Fixtures and Equipment</t>
  </si>
  <si>
    <t>Marketing and Advertising</t>
  </si>
  <si>
    <t>Other Soft Costs (specify in notes)</t>
  </si>
  <si>
    <t>Contingency</t>
  </si>
  <si>
    <t>Other Costs (please describe)</t>
  </si>
  <si>
    <t>Profit</t>
  </si>
  <si>
    <t>Total Development Cost before exemptions</t>
  </si>
  <si>
    <r>
      <rPr>
        <b/>
        <sz val="10"/>
        <color rgb="FF000000"/>
        <rFont val="Calibri"/>
        <family val="2"/>
      </rPr>
      <t>Note:</t>
    </r>
    <r>
      <rPr>
        <sz val="10"/>
        <color rgb="FF000000"/>
        <rFont val="Calibri"/>
        <family val="2"/>
      </rPr>
      <t xml:space="preserve"> In this section, please provide the anticipated discounts/exemptions from fees for which the project may be eligible under recent </t>
    </r>
    <r>
      <rPr>
        <i/>
        <sz val="10"/>
        <color rgb="FF000000"/>
        <rFont val="Calibri"/>
        <family val="2"/>
      </rPr>
      <t>DC Act</t>
    </r>
    <r>
      <rPr>
        <sz val="10"/>
        <color rgb="FF000000"/>
        <rFont val="Calibri"/>
        <family val="2"/>
      </rPr>
      <t xml:space="preserve"> changes through the more </t>
    </r>
    <r>
      <rPr>
        <i/>
        <sz val="10"/>
        <color rgb="FF000000"/>
        <rFont val="Calibri"/>
        <family val="2"/>
      </rPr>
      <t>Homes Built Faster Act, 2022</t>
    </r>
    <r>
      <rPr>
        <sz val="10"/>
        <color rgb="FF000000"/>
        <rFont val="Calibri"/>
        <family val="2"/>
      </rPr>
      <t xml:space="preserve"> (Bill 23)  (not all provisions in force - estimate may be required)</t>
    </r>
  </si>
  <si>
    <r>
      <rPr>
        <sz val="11"/>
        <color rgb="FF000000"/>
        <rFont val="Calibri"/>
        <family val="2"/>
      </rPr>
      <t xml:space="preserve">Anticipated DC exemptions for units that meet the </t>
    </r>
    <r>
      <rPr>
        <i/>
        <sz val="11"/>
        <color rgb="FF000000"/>
        <rFont val="Calibri"/>
        <family val="2"/>
      </rPr>
      <t>DC Act</t>
    </r>
    <r>
      <rPr>
        <sz val="11"/>
        <color rgb="FF000000"/>
        <rFont val="Calibri"/>
        <family val="2"/>
      </rPr>
      <t xml:space="preserve"> definition of "affordable residential unit" (if applicable)</t>
    </r>
  </si>
  <si>
    <t>Other Rebates and Waivers (please describe)</t>
  </si>
  <si>
    <t>Total Development Cost</t>
  </si>
  <si>
    <t>SOURCES OF FUNDING</t>
  </si>
  <si>
    <t>Equity</t>
  </si>
  <si>
    <t>Construction Loan</t>
  </si>
  <si>
    <t>Other Government Funding (if applicable)</t>
  </si>
  <si>
    <t>Other Private Funding (if applicable)</t>
  </si>
  <si>
    <t>Total Sources of Funding</t>
  </si>
  <si>
    <t>Check: Total Development Cost = Total Sources of Funding, if "No", please explain in notes</t>
  </si>
  <si>
    <t>INCENTIVE REQUEST</t>
  </si>
  <si>
    <t>Lump Sum</t>
  </si>
  <si>
    <t>Per Affordable Unit</t>
  </si>
  <si>
    <t>3. Proposed Rents</t>
  </si>
  <si>
    <t>Unit Mix and Revenue Information</t>
  </si>
  <si>
    <t xml:space="preserve">Unit Type </t>
  </si>
  <si>
    <t>Number of Units</t>
  </si>
  <si>
    <t>Average Unit Size 
(square feet)</t>
  </si>
  <si>
    <t>Proposed Monthly Rent</t>
  </si>
  <si>
    <t>Maximum Rent for Unit Type</t>
  </si>
  <si>
    <t>MMR Information (2022)</t>
  </si>
  <si>
    <t xml:space="preserve">Affordable Units </t>
  </si>
  <si>
    <t>Bachelor</t>
  </si>
  <si>
    <t>MMR</t>
  </si>
  <si>
    <t>1-bedroom</t>
  </si>
  <si>
    <t>2-bedroom</t>
  </si>
  <si>
    <t>3+ -bedroom</t>
  </si>
  <si>
    <t>Total Affordable Units</t>
  </si>
  <si>
    <t xml:space="preserve">Market Units </t>
  </si>
  <si>
    <t>Total Market Units</t>
  </si>
  <si>
    <t>Parking Revenue</t>
  </si>
  <si>
    <t>Other Revenue</t>
  </si>
  <si>
    <t>Non Residential Revenue (total project, monthly)</t>
  </si>
  <si>
    <t>Total Number of Units</t>
  </si>
  <si>
    <t>Bachelors</t>
  </si>
  <si>
    <t>3+ bedroom</t>
  </si>
  <si>
    <r>
      <t>“Affordable Units”</t>
    </r>
    <r>
      <rPr>
        <sz val="11"/>
        <color rgb="FF000000"/>
        <rFont val="Calibri"/>
        <family val="2"/>
      </rPr>
      <t xml:space="preserve">  For the purposes of the CHIPP, affordable housing is defied as housing units offered for rent, for which the monthly rent is at or below the Affordable Rental Rates as determined by the Affordable Residential Units for the Purposes of the Development Charges Act, 1997 Bulletin as updated periodically by the Province of Ontario for the Town of Collingwood. </t>
    </r>
  </si>
  <si>
    <t>https://www.ontario.ca/page/municipal-development-and-community-benefits-charges-and-parklands</t>
  </si>
  <si>
    <t>4. Operating Budget</t>
  </si>
  <si>
    <t>Operating Budget</t>
  </si>
  <si>
    <t>Project Revenue (annual)</t>
  </si>
  <si>
    <t xml:space="preserve">Gross Residential Rental Income  </t>
  </si>
  <si>
    <t xml:space="preserve">     Gross Market Rental Income </t>
  </si>
  <si>
    <t xml:space="preserve">     Gross Affordable Rental Income  </t>
  </si>
  <si>
    <t xml:space="preserve">Total Laundry Income  </t>
  </si>
  <si>
    <t xml:space="preserve">Total Parking Income  </t>
  </si>
  <si>
    <t xml:space="preserve">Non-Residential Income </t>
  </si>
  <si>
    <t>Potential Gross Income</t>
  </si>
  <si>
    <t>Vacancy Allowance (total annual, enter as %)</t>
  </si>
  <si>
    <t>Bad Debt Allowance (total annual, enter as %)</t>
  </si>
  <si>
    <t>Effective Gross Income</t>
  </si>
  <si>
    <t>Operating Expenses (annual)</t>
  </si>
  <si>
    <t>TOTAL Operating Expenses</t>
  </si>
  <si>
    <t>Operating Expense Ratio</t>
  </si>
  <si>
    <t>Operating Model</t>
  </si>
  <si>
    <t>Net Operating Income (Effective Gross Income - Expenses)</t>
  </si>
  <si>
    <t>Loan Interest Rate</t>
  </si>
  <si>
    <t>Loan Amortization Period (Years)</t>
  </si>
  <si>
    <t>Capitalization Rate</t>
  </si>
  <si>
    <t>Capitalized Value</t>
  </si>
  <si>
    <t>Debt Coverage Ratio</t>
  </si>
  <si>
    <t>Base</t>
  </si>
  <si>
    <t>CMHC Loan</t>
  </si>
  <si>
    <t>Commercial Loan</t>
  </si>
  <si>
    <t>Net Present Value Analysis</t>
  </si>
  <si>
    <t>Total Number of Affordable Units</t>
  </si>
  <si>
    <t>Affordable - Weighted Avg. Rent</t>
  </si>
  <si>
    <t>Gross Potential Income</t>
  </si>
  <si>
    <t>Market - Weighted Avg. Rent (using the total number of affordable units)</t>
  </si>
  <si>
    <t>Vacancy Loss</t>
  </si>
  <si>
    <t>Net Rent Revenue</t>
  </si>
  <si>
    <t>Misc. Income</t>
  </si>
  <si>
    <t>Affordability Period (years)</t>
  </si>
  <si>
    <t>CMHC</t>
  </si>
  <si>
    <t>Commercial</t>
  </si>
  <si>
    <t>Operating Expense</t>
  </si>
  <si>
    <t>Incentive Ask</t>
  </si>
  <si>
    <t>NOI</t>
  </si>
  <si>
    <t>Annual Rent Saved</t>
  </si>
  <si>
    <t>DCR</t>
  </si>
  <si>
    <t>Annual Debt Service</t>
  </si>
  <si>
    <t>Present Value of Rent Saved</t>
  </si>
  <si>
    <t>Interest Rate</t>
  </si>
  <si>
    <t>Monthly Payment</t>
  </si>
  <si>
    <t>Net Present Value</t>
  </si>
  <si>
    <t>Number of Periods</t>
  </si>
  <si>
    <t>Profitability Index</t>
  </si>
  <si>
    <t>Cap Rate</t>
  </si>
  <si>
    <t>LTV%</t>
  </si>
  <si>
    <t>Incentive Required</t>
  </si>
  <si>
    <t>50 affordable</t>
  </si>
  <si>
    <t>50 at market</t>
  </si>
  <si>
    <t>at all market rates</t>
  </si>
  <si>
    <t>incl. affordable</t>
  </si>
  <si>
    <t>Net Rental Revenue</t>
  </si>
  <si>
    <t>Operating Cost</t>
  </si>
  <si>
    <t>Loan</t>
  </si>
  <si>
    <t>Total Dev Cost</t>
  </si>
  <si>
    <t>Greenwin</t>
  </si>
  <si>
    <t>Canahahns</t>
  </si>
  <si>
    <t>All at Market</t>
  </si>
  <si>
    <t>W/Affordable</t>
  </si>
  <si>
    <t>Other Income</t>
  </si>
  <si>
    <t>Difference in Equity</t>
  </si>
  <si>
    <t>Per Unit (affordable)</t>
  </si>
  <si>
    <t>United</t>
  </si>
  <si>
    <t>BBCFR</t>
  </si>
  <si>
    <t>Daniels 1</t>
  </si>
  <si>
    <t>Daniels 2</t>
  </si>
  <si>
    <t>Lead Applicant Name (first, last)</t>
  </si>
  <si>
    <t>Lead Organization/Company Name (full legal name and business name, as applicable)</t>
  </si>
  <si>
    <t>Is the lead applicant a non-profit, not-for-profit or charitable organization?</t>
  </si>
  <si>
    <t>Does the lead applicant have relevant prior experience building affordable housing or the proposed built form, or retained relevant experience</t>
  </si>
  <si>
    <t>Co-Applicant Organization / Company Name (full legal name and business name, as applicable)</t>
  </si>
  <si>
    <t xml:space="preserve">Total Site Area of the Entire Property (square metres) </t>
  </si>
  <si>
    <t>Total Gross Floor Area of the proposed building(s)</t>
  </si>
  <si>
    <t>Are a mix of uses or additional amenities (e.g. community amenities, childcare facilities, etc.) provided on site, if yes, please list</t>
  </si>
  <si>
    <t>Total Number of New Residential Units (affordable plus market rate as applicable)</t>
  </si>
  <si>
    <t>Total Number of Existing Residential Units (if applicable)</t>
  </si>
  <si>
    <t>Gross Floor Area of Non Residential Use (square metres), if proposed</t>
  </si>
  <si>
    <t>Description of Non-Residential Uses (retail, services, supports, etc.)</t>
  </si>
  <si>
    <t>Parking spaces allocated to Residential Units</t>
  </si>
  <si>
    <t>Parking spaces allocated to Non-Residential Units if applicable</t>
  </si>
  <si>
    <t>Parking Rate for Residential units (spaces per unit), if applicable</t>
  </si>
  <si>
    <t>Parking Rate for Non-Residential units, if applicable</t>
  </si>
  <si>
    <t>Is the project receiving any funding from any other sources</t>
  </si>
  <si>
    <t>Is the project receiving CMHC financing or funding</t>
  </si>
  <si>
    <t>If Yes, please specify the program(s) and the progress made so far.</t>
  </si>
  <si>
    <r>
      <t xml:space="preserve">Anticipated DC discount for market rate "rental housing development" per the </t>
    </r>
    <r>
      <rPr>
        <i/>
        <sz val="11"/>
        <rFont val="Calibri"/>
        <family val="2"/>
        <scheme val="minor"/>
      </rPr>
      <t>DC Act</t>
    </r>
    <r>
      <rPr>
        <sz val="11"/>
        <rFont val="Calibri"/>
        <family val="2"/>
        <scheme val="minor"/>
      </rPr>
      <t xml:space="preserve"> definition</t>
    </r>
  </si>
  <si>
    <t xml:space="preserve">Parking Rate - Blended Average (per unit, monthly). If no parking revenues are anticipated, please enter 0. </t>
  </si>
  <si>
    <t xml:space="preserve">Laundry Revenue (total project, monthly). If no laundry revenues are anticipated, please enter 0. </t>
  </si>
  <si>
    <t>Estimated Annual Mortgage Payment (include all loans payments related to the project)</t>
  </si>
  <si>
    <t>Development and Administration Costs (project management, legal fees, accounting, etc.)</t>
  </si>
  <si>
    <t>Consultant fees</t>
  </si>
  <si>
    <t>Parkland Dedication or Cash-In-Lieu (excluding any exemptions)</t>
  </si>
  <si>
    <t>Net HST (Before Rebates)</t>
  </si>
  <si>
    <r>
      <t xml:space="preserve">Anticipated Cash-in-lieu of Parkland exemptions for units that meet the </t>
    </r>
    <r>
      <rPr>
        <i/>
        <sz val="11"/>
        <rFont val="Calibri"/>
        <family val="2"/>
      </rPr>
      <t>DC Act</t>
    </r>
    <r>
      <rPr>
        <sz val="11"/>
        <rFont val="Calibri"/>
        <family val="2"/>
      </rPr>
      <t xml:space="preserve"> definition of "affordable residential unit" (if applicable)</t>
    </r>
  </si>
  <si>
    <t>Years of Affordability (min. 25 yrs)</t>
  </si>
  <si>
    <t>Co-Applicant Name (first, last, as applicable)</t>
  </si>
  <si>
    <t xml:space="preserve">Estimated Land Value per Gross Floor Area (m2) </t>
  </si>
  <si>
    <t>HST Exemptions</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</si>
</sst>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7">
    <numFmt numFmtId="164" formatCode="&quot;$&quot;#,##0.00;[Red]\-&quot;$&quot;#,##0.00"/>
    <numFmt numFmtId="165" formatCode="_-&quot;$&quot;* #,##0.00_-;\-&quot;$&quot;* #,##0.00_-;_-&quot;$&quot;* &quot;-&quot;??_-;_-@_-"/>
    <numFmt numFmtId="166" formatCode="_-* #,##0.00_-;\-* #,##0.00_-;_-* &quot;-&quot;??_-;_-@_-"/>
    <numFmt numFmtId="167" formatCode="&quot;$&quot;#,##0"/>
    <numFmt numFmtId="168" formatCode="&quot;$&quot;#,##0.00"/>
    <numFmt numFmtId="169" formatCode="_-&quot;$&quot;* #,##0_-;\-&quot;$&quot;* #,##0_-;_-&quot;$&quot;* &quot;-&quot;??_-;_-@_-"/>
    <numFmt numFmtId="170" formatCode="0.0%"/>
  </numFmts>
  <fonts count="33" x14ac:knownFonts="1">
    <font>
      <sz val="11"/>
      <color theme="1"/>
      <name val="Calibri"/>
      <family val="2"/>
      <scheme val="minor"/>
    </font>
    <font>
      <sz val="11"/>
      <color theme="1"/>
      <name val="Calibri"/>
      <family val="2"/>
      <scheme val="minor"/>
    </font>
    <font>
      <sz val="12"/>
      <name val="Arial"/>
      <family val="2"/>
    </font>
    <font>
      <u/>
      <sz val="11"/>
      <color theme="10"/>
      <name val="Calibri"/>
      <family val="2"/>
      <scheme val="minor"/>
    </font>
    <font>
      <b/>
      <sz val="11"/>
      <color theme="0"/>
      <name val="Calibri"/>
      <family val="2"/>
      <scheme val="minor"/>
    </font>
    <font>
      <sz val="11"/>
      <color rgb="FFFF0000"/>
      <name val="Calibri"/>
      <family val="2"/>
      <scheme val="minor"/>
    </font>
    <font>
      <b/>
      <sz val="11"/>
      <color theme="1"/>
      <name val="Calibri"/>
      <family val="2"/>
      <scheme val="minor"/>
    </font>
    <font>
      <sz val="11"/>
      <color theme="0"/>
      <name val="Calibri"/>
      <family val="2"/>
      <scheme val="minor"/>
    </font>
    <font>
      <b/>
      <sz val="12"/>
      <color theme="0"/>
      <name val="Calibri"/>
      <family val="2"/>
      <scheme val="minor"/>
    </font>
    <font>
      <sz val="11"/>
      <color rgb="FF000000"/>
      <name val="Calibri"/>
      <family val="2"/>
    </font>
    <font>
      <b/>
      <sz val="11"/>
      <color theme="1" tint="0.249977111117893"/>
      <name val="Calibri"/>
      <family val="2"/>
      <scheme val="minor"/>
    </font>
    <font>
      <b/>
      <sz val="14"/>
      <color theme="1"/>
      <name val="Calibri"/>
      <family val="2"/>
      <scheme val="minor"/>
    </font>
    <font>
      <b/>
      <sz val="11"/>
      <color rgb="FF000000"/>
      <name val="Calibri"/>
      <family val="2"/>
    </font>
    <font>
      <b/>
      <sz val="14"/>
      <color rgb="FF000000"/>
      <name val="Calibri"/>
      <family val="2"/>
    </font>
    <font>
      <i/>
      <sz val="11"/>
      <color rgb="FF000000"/>
      <name val="Calibri"/>
      <family val="2"/>
    </font>
    <font>
      <b/>
      <sz val="10"/>
      <color rgb="FF000000"/>
      <name val="Calibri"/>
      <family val="2"/>
    </font>
    <font>
      <sz val="10"/>
      <color rgb="FF000000"/>
      <name val="Calibri"/>
      <family val="2"/>
    </font>
    <font>
      <i/>
      <sz val="10"/>
      <color rgb="FF000000"/>
      <name val="Calibri"/>
      <family val="2"/>
    </font>
    <font>
      <sz val="10"/>
      <color theme="1"/>
      <name val="Calibri"/>
      <family val="2"/>
      <scheme val="minor"/>
    </font>
    <font>
      <b/>
      <u/>
      <sz val="10"/>
      <color rgb="FF000000"/>
      <name val="Calibri"/>
      <family val="2"/>
    </font>
    <font>
      <b/>
      <sz val="16"/>
      <color rgb="FF0066B3"/>
      <name val="Calibri"/>
      <family val="2"/>
      <scheme val="minor"/>
    </font>
    <font>
      <sz val="11"/>
      <color rgb="FF000000"/>
      <name val="Calibri"/>
      <family val="2"/>
      <scheme val="minor"/>
    </font>
    <font>
      <b/>
      <sz val="16"/>
      <color rgb="FF000000"/>
      <name val="Calibri"/>
      <family val="2"/>
      <scheme val="minor"/>
    </font>
    <font>
      <b/>
      <sz val="12"/>
      <color rgb="FF000000"/>
      <name val="Calibri"/>
      <family val="2"/>
      <scheme val="minor"/>
    </font>
    <font>
      <sz val="12"/>
      <color rgb="FF000000"/>
      <name val="Calibri"/>
      <family val="2"/>
      <scheme val="minor"/>
    </font>
    <font>
      <b/>
      <sz val="11"/>
      <color rgb="FFFFFFFF"/>
      <name val="Calibri"/>
      <family val="2"/>
      <charset val="1"/>
      <scheme val="minor"/>
    </font>
    <font>
      <sz val="11"/>
      <color rgb="FF000000"/>
      <name val="Calibri"/>
      <family val="2"/>
      <charset val="1"/>
      <scheme val="minor"/>
    </font>
    <font>
      <b/>
      <sz val="11"/>
      <color rgb="FF000000"/>
      <name val="Calibri"/>
      <family val="2"/>
      <charset val="1"/>
      <scheme val="minor"/>
    </font>
    <font>
      <sz val="7"/>
      <color rgb="FF000000"/>
      <name val="Times New Roman"/>
      <family val="1"/>
    </font>
    <font>
      <sz val="11"/>
      <name val="Calibri"/>
      <family val="2"/>
      <scheme val="minor"/>
    </font>
    <font>
      <i/>
      <sz val="11"/>
      <name val="Calibri"/>
      <family val="2"/>
      <scheme val="minor"/>
    </font>
    <font>
      <sz val="11"/>
      <name val="Calibri"/>
      <family val="2"/>
    </font>
    <font>
      <i/>
      <sz val="11"/>
      <name val="Calibri"/>
      <family val="2"/>
    </font>
  </fonts>
  <fills count="24">
    <fill>
      <patternFill patternType="none"/>
    </fill>
    <fill>
      <patternFill patternType="gray125"/>
    </fill>
    <fill>
      <patternFill patternType="solid">
        <fgColor theme="7" tint="0.79998168889431442"/>
        <bgColor indexed="64"/>
      </patternFill>
    </fill>
    <fill>
      <patternFill patternType="solid">
        <fgColor theme="3" tint="0.79998168889431442"/>
        <bgColor indexed="64"/>
      </patternFill>
    </fill>
    <fill>
      <patternFill patternType="solid">
        <fgColor theme="9" tint="0.79998168889431442"/>
        <bgColor indexed="64"/>
      </patternFill>
    </fill>
    <fill>
      <patternFill patternType="solid">
        <fgColor theme="4"/>
      </patternFill>
    </fill>
    <fill>
      <patternFill patternType="solid">
        <fgColor theme="6" tint="0.79998168889431442"/>
        <bgColor indexed="65"/>
      </patternFill>
    </fill>
    <fill>
      <patternFill patternType="solid">
        <fgColor theme="5" tint="0.79998168889431442"/>
        <bgColor indexed="64"/>
      </patternFill>
    </fill>
    <fill>
      <patternFill patternType="solid">
        <fgColor rgb="FF0066B3"/>
        <bgColor indexed="64"/>
      </patternFill>
    </fill>
    <fill>
      <patternFill patternType="solid">
        <fgColor theme="8" tint="0.39997558519241921"/>
        <bgColor indexed="64"/>
      </patternFill>
    </fill>
    <fill>
      <patternFill patternType="solid">
        <fgColor theme="0" tint="-0.14999847407452621"/>
        <bgColor indexed="64"/>
      </patternFill>
    </fill>
    <fill>
      <patternFill patternType="solid">
        <fgColor rgb="FFFFF2CC"/>
        <bgColor indexed="64"/>
      </patternFill>
    </fill>
    <fill>
      <patternFill patternType="solid">
        <fgColor theme="8" tint="0.79998168889431442"/>
        <bgColor indexed="64"/>
      </patternFill>
    </fill>
    <fill>
      <patternFill patternType="solid">
        <fgColor rgb="FFD9D9D9"/>
        <bgColor indexed="64"/>
      </patternFill>
    </fill>
    <fill>
      <patternFill patternType="solid">
        <fgColor theme="4"/>
        <bgColor indexed="64"/>
      </patternFill>
    </fill>
    <fill>
      <patternFill patternType="solid">
        <fgColor rgb="FFFFF2CC"/>
        <bgColor rgb="FF000000"/>
      </patternFill>
    </fill>
    <fill>
      <patternFill patternType="solid">
        <fgColor rgb="FFD9D9D9"/>
        <bgColor rgb="FF000000"/>
      </patternFill>
    </fill>
    <fill>
      <patternFill patternType="solid">
        <fgColor theme="4" tint="0.59999389629810485"/>
        <bgColor indexed="64"/>
      </patternFill>
    </fill>
    <fill>
      <patternFill patternType="solid">
        <fgColor theme="6" tint="0.59999389629810485"/>
        <bgColor indexed="64"/>
      </patternFill>
    </fill>
    <fill>
      <patternFill patternType="solid">
        <fgColor theme="9" tint="0.59999389629810485"/>
        <bgColor indexed="64"/>
      </patternFill>
    </fill>
    <fill>
      <patternFill patternType="solid">
        <fgColor rgb="FFFFFFFF"/>
        <bgColor rgb="FF000000"/>
      </patternFill>
    </fill>
    <fill>
      <patternFill patternType="solid">
        <fgColor rgb="FF0066B3"/>
        <bgColor rgb="FF000000"/>
      </patternFill>
    </fill>
    <fill>
      <patternFill patternType="solid">
        <fgColor rgb="FFEDEDED"/>
        <bgColor rgb="FF000000"/>
      </patternFill>
    </fill>
    <fill>
      <patternFill patternType="solid">
        <fgColor theme="0" tint="-4.9989318521683403E-2"/>
        <bgColor rgb="FF000000"/>
      </patternFill>
    </fill>
  </fills>
  <borders count="45">
    <border>
      <left/>
      <right/>
      <top/>
      <bottom/>
      <diagonal/>
    </border>
    <border>
      <left/>
      <right/>
      <top/>
      <bottom style="thin">
        <color indexed="64"/>
      </bottom>
      <diagonal/>
    </border>
    <border>
      <left style="thin">
        <color auto="1"/>
      </left>
      <right style="thin">
        <color auto="1"/>
      </right>
      <top style="thin">
        <color auto="1"/>
      </top>
      <bottom style="thin">
        <color auto="1"/>
      </bottom>
      <diagonal/>
    </border>
    <border>
      <left style="thin">
        <color rgb="FF000000"/>
      </left>
      <right style="thin">
        <color rgb="FF000000"/>
      </right>
      <top style="thin">
        <color rgb="FF000000"/>
      </top>
      <bottom style="thin">
        <color rgb="FF000000"/>
      </bottom>
      <diagonal/>
    </border>
    <border>
      <left style="thin">
        <color rgb="FF000000"/>
      </left>
      <right style="thin">
        <color rgb="FF000000"/>
      </right>
      <top/>
      <bottom style="thin">
        <color rgb="FF000000"/>
      </bottom>
      <diagonal/>
    </border>
    <border>
      <left/>
      <right style="thin">
        <color indexed="64"/>
      </right>
      <top/>
      <bottom/>
      <diagonal/>
    </border>
    <border>
      <left/>
      <right/>
      <top/>
      <bottom style="double">
        <color indexed="64"/>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style="thin">
        <color indexed="64"/>
      </left>
      <right/>
      <top/>
      <bottom/>
      <diagonal/>
    </border>
    <border>
      <left style="thin">
        <color indexed="64"/>
      </left>
      <right/>
      <top/>
      <bottom style="double">
        <color indexed="64"/>
      </bottom>
      <diagonal/>
    </border>
    <border>
      <left style="thin">
        <color indexed="64"/>
      </left>
      <right/>
      <top/>
      <bottom style="thin">
        <color indexed="64"/>
      </bottom>
      <diagonal/>
    </border>
    <border>
      <left/>
      <right style="thin">
        <color indexed="64"/>
      </right>
      <top/>
      <bottom style="thin">
        <color indexed="64"/>
      </bottom>
      <diagonal/>
    </border>
    <border>
      <left style="thin">
        <color auto="1"/>
      </left>
      <right/>
      <top style="thin">
        <color rgb="FF000000"/>
      </top>
      <bottom style="thin">
        <color rgb="FF000000"/>
      </bottom>
      <diagonal/>
    </border>
    <border>
      <left/>
      <right/>
      <top style="thin">
        <color rgb="FF000000"/>
      </top>
      <bottom style="thin">
        <color rgb="FF000000"/>
      </bottom>
      <diagonal/>
    </border>
    <border>
      <left/>
      <right style="thin">
        <color auto="1"/>
      </right>
      <top style="thin">
        <color rgb="FF000000"/>
      </top>
      <bottom style="thin">
        <color rgb="FF000000"/>
      </bottom>
      <diagonal/>
    </border>
    <border>
      <left style="thin">
        <color rgb="FF000000"/>
      </left>
      <right/>
      <top style="thin">
        <color rgb="FF000000"/>
      </top>
      <bottom style="thin">
        <color rgb="FF000000"/>
      </bottom>
      <diagonal/>
    </border>
    <border>
      <left style="thin">
        <color rgb="FF000000"/>
      </left>
      <right style="thin">
        <color rgb="FF000000"/>
      </right>
      <top style="thin">
        <color rgb="FF000000"/>
      </top>
      <bottom/>
      <diagonal/>
    </border>
    <border>
      <left style="medium">
        <color rgb="FF000000"/>
      </left>
      <right/>
      <top style="medium">
        <color rgb="FF000000"/>
      </top>
      <bottom/>
      <diagonal/>
    </border>
    <border>
      <left/>
      <right/>
      <top style="medium">
        <color rgb="FF000000"/>
      </top>
      <bottom/>
      <diagonal/>
    </border>
    <border>
      <left style="medium">
        <color rgb="FF000000"/>
      </left>
      <right/>
      <top/>
      <bottom/>
      <diagonal/>
    </border>
    <border>
      <left style="medium">
        <color rgb="FF000000"/>
      </left>
      <right/>
      <top/>
      <bottom style="medium">
        <color rgb="FF000000"/>
      </bottom>
      <diagonal/>
    </border>
    <border>
      <left/>
      <right/>
      <top/>
      <bottom style="medium">
        <color rgb="FF000000"/>
      </bottom>
      <diagonal/>
    </border>
    <border>
      <left style="thin">
        <color auto="1"/>
      </left>
      <right/>
      <top style="thin">
        <color auto="1"/>
      </top>
      <bottom style="thin">
        <color auto="1"/>
      </bottom>
      <diagonal/>
    </border>
    <border>
      <left/>
      <right/>
      <top/>
      <bottom style="thin">
        <color rgb="FF000000"/>
      </bottom>
      <diagonal/>
    </border>
    <border>
      <left style="thin">
        <color rgb="FF000000"/>
      </left>
      <right/>
      <top style="thin">
        <color rgb="FF000000"/>
      </top>
      <bottom/>
      <diagonal/>
    </border>
    <border>
      <left/>
      <right/>
      <top style="thin">
        <color rgb="FF000000"/>
      </top>
      <bottom/>
      <diagonal/>
    </border>
    <border>
      <left/>
      <right style="thin">
        <color rgb="FF000000"/>
      </right>
      <top style="thin">
        <color rgb="FF000000"/>
      </top>
      <bottom/>
      <diagonal/>
    </border>
    <border>
      <left style="thin">
        <color rgb="FF000000"/>
      </left>
      <right/>
      <top/>
      <bottom/>
      <diagonal/>
    </border>
    <border>
      <left/>
      <right style="thin">
        <color rgb="FF000000"/>
      </right>
      <top/>
      <bottom/>
      <diagonal/>
    </border>
    <border>
      <left style="thin">
        <color rgb="FF000000"/>
      </left>
      <right/>
      <top/>
      <bottom style="thin">
        <color rgb="FF000000"/>
      </bottom>
      <diagonal/>
    </border>
    <border>
      <left/>
      <right style="thin">
        <color rgb="FF000000"/>
      </right>
      <top/>
      <bottom style="thin">
        <color rgb="FF000000"/>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rgb="FF000000"/>
      </left>
      <right style="thin">
        <color indexed="64"/>
      </right>
      <top style="thin">
        <color rgb="FF000000"/>
      </top>
      <bottom style="thin">
        <color indexed="64"/>
      </bottom>
      <diagonal/>
    </border>
    <border>
      <left style="thin">
        <color indexed="64"/>
      </left>
      <right style="thin">
        <color rgb="FF000000"/>
      </right>
      <top style="thin">
        <color rgb="FF000000"/>
      </top>
      <bottom style="thin">
        <color indexed="64"/>
      </bottom>
      <diagonal/>
    </border>
    <border>
      <left style="thin">
        <color rgb="FF000000"/>
      </left>
      <right style="thin">
        <color indexed="64"/>
      </right>
      <top style="thin">
        <color indexed="64"/>
      </top>
      <bottom/>
      <diagonal/>
    </border>
    <border>
      <left style="thin">
        <color indexed="64"/>
      </left>
      <right style="thin">
        <color rgb="FF000000"/>
      </right>
      <top style="thin">
        <color indexed="64"/>
      </top>
      <bottom/>
      <diagonal/>
    </border>
    <border>
      <left style="thin">
        <color indexed="64"/>
      </left>
      <right style="thin">
        <color rgb="FF000000"/>
      </right>
      <top/>
      <bottom/>
      <diagonal/>
    </border>
    <border>
      <left style="thin">
        <color indexed="64"/>
      </left>
      <right style="thin">
        <color indexed="64"/>
      </right>
      <top style="thin">
        <color indexed="64"/>
      </top>
      <bottom/>
      <diagonal/>
    </border>
    <border>
      <left style="thin">
        <color indexed="64"/>
      </left>
      <right style="thin">
        <color indexed="64"/>
      </right>
      <top/>
      <bottom style="thin">
        <color indexed="64"/>
      </bottom>
      <diagonal/>
    </border>
    <border>
      <left style="thin">
        <color rgb="FF000000"/>
      </left>
      <right/>
      <top style="thin">
        <color indexed="64"/>
      </top>
      <bottom/>
      <diagonal/>
    </border>
    <border>
      <left style="thin">
        <color rgb="FF000000"/>
      </left>
      <right style="thin">
        <color rgb="FF000000"/>
      </right>
      <top/>
      <bottom/>
      <diagonal/>
    </border>
    <border>
      <left style="thin">
        <color rgb="FF000000"/>
      </left>
      <right style="thin">
        <color indexed="64"/>
      </right>
      <top/>
      <bottom style="thin">
        <color indexed="64"/>
      </bottom>
      <diagonal/>
    </border>
  </borders>
  <cellStyleXfs count="8">
    <xf numFmtId="0" fontId="0" fillId="0" borderId="0"/>
    <xf numFmtId="9" fontId="1" fillId="0" borderId="0" applyFont="0" applyFill="0" applyBorder="0" applyAlignment="0" applyProtection="0"/>
    <xf numFmtId="0" fontId="2" fillId="0" borderId="0"/>
    <xf numFmtId="0" fontId="3" fillId="0" borderId="0" applyNumberFormat="0" applyFill="0" applyBorder="0" applyAlignment="0" applyProtection="0"/>
    <xf numFmtId="165" fontId="1" fillId="0" borderId="0" applyFont="0" applyFill="0" applyBorder="0" applyAlignment="0" applyProtection="0"/>
    <xf numFmtId="0" fontId="7" fillId="5" borderId="0" applyNumberFormat="0" applyBorder="0" applyAlignment="0" applyProtection="0"/>
    <xf numFmtId="0" fontId="1" fillId="6" borderId="0" applyNumberFormat="0" applyBorder="0" applyAlignment="0" applyProtection="0"/>
    <xf numFmtId="166" fontId="1" fillId="0" borderId="0" applyFont="0" applyFill="0" applyBorder="0" applyAlignment="0" applyProtection="0"/>
  </cellStyleXfs>
  <cellXfs count="213">
    <xf numFmtId="0" fontId="0" fillId="0" borderId="0" xfId="0"/>
    <xf numFmtId="0" fontId="0" fillId="2" borderId="2" xfId="6" applyFont="1" applyFill="1" applyBorder="1" applyAlignment="1" applyProtection="1">
      <alignment horizontal="center" vertical="center" wrapText="1"/>
      <protection locked="0"/>
    </xf>
    <xf numFmtId="0" fontId="0" fillId="2" borderId="2" xfId="0" applyFill="1" applyBorder="1" applyAlignment="1" applyProtection="1">
      <alignment horizontal="center" vertical="center" wrapText="1"/>
      <protection locked="0"/>
    </xf>
    <xf numFmtId="0" fontId="0" fillId="0" borderId="2" xfId="0" applyBorder="1" applyAlignment="1">
      <alignment horizontal="left" vertical="center" wrapText="1"/>
    </xf>
    <xf numFmtId="0" fontId="10" fillId="12" borderId="2" xfId="5" applyFont="1" applyFill="1" applyBorder="1" applyAlignment="1" applyProtection="1">
      <alignment horizontal="center" vertical="center" wrapText="1"/>
    </xf>
    <xf numFmtId="165" fontId="0" fillId="0" borderId="0" xfId="4" applyFont="1"/>
    <xf numFmtId="165" fontId="0" fillId="0" borderId="6" xfId="4" applyFont="1" applyBorder="1"/>
    <xf numFmtId="0" fontId="0" fillId="0" borderId="10" xfId="0" applyBorder="1"/>
    <xf numFmtId="165" fontId="0" fillId="0" borderId="0" xfId="4" applyFont="1" applyBorder="1"/>
    <xf numFmtId="0" fontId="0" fillId="0" borderId="5" xfId="0" applyBorder="1"/>
    <xf numFmtId="0" fontId="0" fillId="0" borderId="11" xfId="0" applyBorder="1"/>
    <xf numFmtId="164" fontId="0" fillId="0" borderId="0" xfId="0" applyNumberFormat="1"/>
    <xf numFmtId="164" fontId="0" fillId="0" borderId="5" xfId="0" applyNumberFormat="1" applyBorder="1"/>
    <xf numFmtId="2" fontId="0" fillId="0" borderId="0" xfId="4" applyNumberFormat="1" applyFont="1" applyBorder="1"/>
    <xf numFmtId="2" fontId="0" fillId="0" borderId="0" xfId="0" applyNumberFormat="1"/>
    <xf numFmtId="2" fontId="0" fillId="0" borderId="5" xfId="0" applyNumberFormat="1" applyBorder="1"/>
    <xf numFmtId="164" fontId="0" fillId="0" borderId="0" xfId="4" applyNumberFormat="1" applyFont="1" applyBorder="1"/>
    <xf numFmtId="10" fontId="0" fillId="0" borderId="0" xfId="1" applyNumberFormat="1" applyFont="1" applyBorder="1"/>
    <xf numFmtId="0" fontId="0" fillId="0" borderId="0" xfId="4" applyNumberFormat="1" applyFont="1" applyBorder="1"/>
    <xf numFmtId="10" fontId="0" fillId="0" borderId="0" xfId="4" applyNumberFormat="1" applyFont="1" applyBorder="1"/>
    <xf numFmtId="165" fontId="0" fillId="0" borderId="5" xfId="4" applyFont="1" applyBorder="1"/>
    <xf numFmtId="9" fontId="0" fillId="0" borderId="0" xfId="1" applyFont="1" applyBorder="1"/>
    <xf numFmtId="9" fontId="0" fillId="0" borderId="5" xfId="1" applyFont="1" applyBorder="1"/>
    <xf numFmtId="0" fontId="0" fillId="0" borderId="12" xfId="0" applyBorder="1"/>
    <xf numFmtId="0" fontId="4" fillId="14" borderId="7" xfId="0" applyFont="1" applyFill="1" applyBorder="1"/>
    <xf numFmtId="165" fontId="4" fillId="14" borderId="8" xfId="4" applyFont="1" applyFill="1" applyBorder="1"/>
    <xf numFmtId="0" fontId="4" fillId="14" borderId="8" xfId="0" applyFont="1" applyFill="1" applyBorder="1"/>
    <xf numFmtId="0" fontId="4" fillId="14" borderId="9" xfId="0" applyFont="1" applyFill="1" applyBorder="1"/>
    <xf numFmtId="169" fontId="0" fillId="0" borderId="0" xfId="4" applyNumberFormat="1" applyFont="1" applyBorder="1"/>
    <xf numFmtId="0" fontId="0" fillId="3" borderId="0" xfId="0" applyFill="1" applyAlignment="1">
      <alignment horizontal="center"/>
    </xf>
    <xf numFmtId="0" fontId="0" fillId="3" borderId="5" xfId="0" applyFill="1" applyBorder="1" applyAlignment="1">
      <alignment horizontal="center"/>
    </xf>
    <xf numFmtId="165" fontId="0" fillId="0" borderId="0" xfId="0" applyNumberFormat="1"/>
    <xf numFmtId="165" fontId="0" fillId="0" borderId="5" xfId="0" applyNumberFormat="1" applyBorder="1"/>
    <xf numFmtId="9" fontId="0" fillId="0" borderId="1" xfId="1" applyFont="1" applyBorder="1"/>
    <xf numFmtId="9" fontId="0" fillId="0" borderId="13" xfId="1" applyFont="1" applyBorder="1"/>
    <xf numFmtId="0" fontId="0" fillId="3" borderId="12" xfId="0" applyFill="1" applyBorder="1"/>
    <xf numFmtId="165" fontId="0" fillId="3" borderId="1" xfId="4" applyFont="1" applyFill="1" applyBorder="1"/>
    <xf numFmtId="0" fontId="0" fillId="3" borderId="1" xfId="0" applyFill="1" applyBorder="1"/>
    <xf numFmtId="164" fontId="0" fillId="3" borderId="1" xfId="0" applyNumberFormat="1" applyFill="1" applyBorder="1"/>
    <xf numFmtId="164" fontId="0" fillId="3" borderId="13" xfId="0" applyNumberFormat="1" applyFill="1" applyBorder="1"/>
    <xf numFmtId="166" fontId="0" fillId="0" borderId="0" xfId="7" applyFont="1"/>
    <xf numFmtId="9" fontId="0" fillId="0" borderId="0" xfId="1" applyFont="1"/>
    <xf numFmtId="4" fontId="0" fillId="0" borderId="0" xfId="0" applyNumberFormat="1"/>
    <xf numFmtId="165" fontId="0" fillId="7" borderId="0" xfId="4" applyFont="1" applyFill="1" applyBorder="1"/>
    <xf numFmtId="165" fontId="0" fillId="7" borderId="5" xfId="4" applyFont="1" applyFill="1" applyBorder="1"/>
    <xf numFmtId="165" fontId="0" fillId="0" borderId="1" xfId="4" applyFont="1" applyBorder="1"/>
    <xf numFmtId="165" fontId="0" fillId="7" borderId="13" xfId="4" applyFont="1" applyFill="1" applyBorder="1"/>
    <xf numFmtId="0" fontId="0" fillId="2" borderId="10" xfId="0" applyFill="1" applyBorder="1"/>
    <xf numFmtId="10" fontId="0" fillId="0" borderId="0" xfId="1" applyNumberFormat="1" applyFont="1"/>
    <xf numFmtId="0" fontId="0" fillId="4" borderId="0" xfId="0" applyFill="1"/>
    <xf numFmtId="0" fontId="11" fillId="0" borderId="0" xfId="0" applyFont="1" applyAlignment="1">
      <alignment vertical="center" wrapText="1"/>
    </xf>
    <xf numFmtId="0" fontId="1" fillId="0" borderId="0" xfId="0" applyFont="1" applyAlignment="1">
      <alignment vertical="center" wrapText="1"/>
    </xf>
    <xf numFmtId="0" fontId="1" fillId="2" borderId="0" xfId="0" applyFont="1" applyFill="1" applyAlignment="1">
      <alignment vertical="center" wrapText="1"/>
    </xf>
    <xf numFmtId="0" fontId="6" fillId="0" borderId="0" xfId="0" applyFont="1" applyAlignment="1">
      <alignment vertical="center" wrapText="1"/>
    </xf>
    <xf numFmtId="0" fontId="4" fillId="8" borderId="3" xfId="5" applyFont="1" applyFill="1" applyBorder="1" applyAlignment="1" applyProtection="1">
      <alignment vertical="center" wrapText="1"/>
    </xf>
    <xf numFmtId="0" fontId="1" fillId="13" borderId="0" xfId="0" applyFont="1" applyFill="1" applyAlignment="1">
      <alignment vertical="center" wrapText="1"/>
    </xf>
    <xf numFmtId="0" fontId="4" fillId="8" borderId="17" xfId="5" applyFont="1" applyFill="1" applyBorder="1" applyAlignment="1" applyProtection="1">
      <alignment horizontal="center" vertical="center" wrapText="1"/>
    </xf>
    <xf numFmtId="167" fontId="1" fillId="10" borderId="3" xfId="6" applyNumberFormat="1" applyFill="1" applyBorder="1" applyAlignment="1" applyProtection="1">
      <alignment horizontal="center" vertical="center" wrapText="1"/>
    </xf>
    <xf numFmtId="167" fontId="1" fillId="2" borderId="3" xfId="6" applyNumberFormat="1" applyFill="1" applyBorder="1" applyAlignment="1" applyProtection="1">
      <alignment horizontal="center" vertical="center" wrapText="1"/>
      <protection locked="0"/>
    </xf>
    <xf numFmtId="0" fontId="1" fillId="2" borderId="3" xfId="0" applyFont="1" applyFill="1" applyBorder="1" applyAlignment="1" applyProtection="1">
      <alignment wrapText="1"/>
      <protection locked="0"/>
    </xf>
    <xf numFmtId="9" fontId="1" fillId="10" borderId="3" xfId="1" applyFont="1" applyFill="1" applyBorder="1" applyAlignment="1" applyProtection="1">
      <alignment horizontal="center" vertical="center" wrapText="1"/>
    </xf>
    <xf numFmtId="2" fontId="1" fillId="10" borderId="3" xfId="1" applyNumberFormat="1" applyFont="1" applyFill="1" applyBorder="1" applyAlignment="1" applyProtection="1">
      <alignment horizontal="center" vertical="center" wrapText="1"/>
    </xf>
    <xf numFmtId="168" fontId="0" fillId="0" borderId="0" xfId="0" applyNumberFormat="1" applyAlignment="1">
      <alignment horizontal="center" vertical="center" wrapText="1"/>
    </xf>
    <xf numFmtId="9" fontId="1" fillId="2" borderId="3" xfId="1" applyFill="1" applyBorder="1" applyAlignment="1" applyProtection="1">
      <alignment horizontal="center" vertical="center" wrapText="1"/>
      <protection locked="0"/>
    </xf>
    <xf numFmtId="0" fontId="4" fillId="8" borderId="18" xfId="5" applyFont="1" applyFill="1" applyBorder="1" applyAlignment="1" applyProtection="1">
      <alignment vertical="center" wrapText="1"/>
    </xf>
    <xf numFmtId="168" fontId="4" fillId="8" borderId="18" xfId="5" applyNumberFormat="1" applyFont="1" applyFill="1" applyBorder="1" applyAlignment="1" applyProtection="1">
      <alignment horizontal="center" vertical="center" wrapText="1"/>
    </xf>
    <xf numFmtId="0" fontId="4" fillId="8" borderId="18" xfId="0" applyFont="1" applyFill="1" applyBorder="1" applyAlignment="1">
      <alignment horizontal="center" vertical="center" wrapText="1"/>
    </xf>
    <xf numFmtId="0" fontId="0" fillId="10" borderId="0" xfId="0" applyFill="1" applyAlignment="1">
      <alignment horizontal="left" vertical="center" wrapText="1"/>
    </xf>
    <xf numFmtId="0" fontId="0" fillId="10" borderId="0" xfId="0" applyFill="1"/>
    <xf numFmtId="0" fontId="13" fillId="0" borderId="0" xfId="0" applyFont="1" applyAlignment="1">
      <alignment wrapText="1"/>
    </xf>
    <xf numFmtId="0" fontId="9" fillId="2" borderId="2" xfId="0" applyFont="1" applyFill="1" applyBorder="1" applyAlignment="1" applyProtection="1">
      <alignment horizontal="center" wrapText="1"/>
      <protection locked="0"/>
    </xf>
    <xf numFmtId="0" fontId="0" fillId="17" borderId="2" xfId="0" applyFill="1" applyBorder="1"/>
    <xf numFmtId="0" fontId="0" fillId="17" borderId="2" xfId="0" applyFill="1" applyBorder="1" applyAlignment="1">
      <alignment horizontal="left" vertical="center" wrapText="1"/>
    </xf>
    <xf numFmtId="0" fontId="0" fillId="18" borderId="2" xfId="0" applyFill="1" applyBorder="1"/>
    <xf numFmtId="0" fontId="1" fillId="17" borderId="2" xfId="0" applyFont="1" applyFill="1" applyBorder="1" applyAlignment="1">
      <alignment vertical="center" wrapText="1"/>
    </xf>
    <xf numFmtId="168" fontId="0" fillId="17" borderId="2" xfId="0" applyNumberFormat="1" applyFill="1" applyBorder="1" applyAlignment="1">
      <alignment horizontal="center" vertical="center" wrapText="1"/>
    </xf>
    <xf numFmtId="0" fontId="1" fillId="0" borderId="2" xfId="0" applyFont="1" applyBorder="1" applyAlignment="1">
      <alignment vertical="center" wrapText="1"/>
    </xf>
    <xf numFmtId="168" fontId="0" fillId="0" borderId="2" xfId="0" applyNumberFormat="1" applyBorder="1" applyAlignment="1">
      <alignment horizontal="center" vertical="center" wrapText="1"/>
    </xf>
    <xf numFmtId="168" fontId="0" fillId="10" borderId="2" xfId="0" applyNumberFormat="1" applyFill="1" applyBorder="1" applyAlignment="1">
      <alignment horizontal="center" vertical="center" wrapText="1"/>
    </xf>
    <xf numFmtId="0" fontId="1" fillId="0" borderId="2" xfId="0" applyFont="1" applyBorder="1" applyAlignment="1">
      <alignment horizontal="left" vertical="center" wrapText="1" indent="1"/>
    </xf>
    <xf numFmtId="168" fontId="0" fillId="10" borderId="2" xfId="4" applyNumberFormat="1" applyFont="1" applyFill="1" applyBorder="1" applyAlignment="1">
      <alignment horizontal="center" vertical="center" wrapText="1"/>
    </xf>
    <xf numFmtId="0" fontId="1" fillId="10" borderId="2" xfId="0" applyFont="1" applyFill="1" applyBorder="1" applyAlignment="1">
      <alignment vertical="center" wrapText="1"/>
    </xf>
    <xf numFmtId="0" fontId="0" fillId="19" borderId="2" xfId="0" applyFill="1" applyBorder="1" applyAlignment="1">
      <alignment horizontal="left" vertical="center" wrapText="1"/>
    </xf>
    <xf numFmtId="170" fontId="1" fillId="2" borderId="3" xfId="6" applyNumberFormat="1" applyFill="1" applyBorder="1" applyAlignment="1" applyProtection="1">
      <alignment horizontal="center" vertical="center" wrapText="1"/>
      <protection locked="0"/>
    </xf>
    <xf numFmtId="0" fontId="7" fillId="14" borderId="2" xfId="0" applyFont="1" applyFill="1" applyBorder="1"/>
    <xf numFmtId="0" fontId="9" fillId="2" borderId="2" xfId="7" applyNumberFormat="1" applyFont="1" applyFill="1" applyBorder="1" applyAlignment="1" applyProtection="1">
      <alignment horizontal="center" wrapText="1"/>
      <protection locked="0"/>
    </xf>
    <xf numFmtId="9" fontId="9" fillId="2" borderId="2" xfId="1" applyFont="1" applyFill="1" applyBorder="1" applyAlignment="1" applyProtection="1">
      <alignment horizontal="center" wrapText="1"/>
      <protection locked="0"/>
    </xf>
    <xf numFmtId="0" fontId="17" fillId="0" borderId="0" xfId="0" applyFont="1" applyAlignment="1">
      <alignment vertical="top" wrapText="1"/>
    </xf>
    <xf numFmtId="0" fontId="1" fillId="10" borderId="24" xfId="0" applyFont="1" applyFill="1" applyBorder="1" applyAlignment="1">
      <alignment vertical="center" wrapText="1"/>
    </xf>
    <xf numFmtId="0" fontId="1" fillId="0" borderId="2" xfId="0" applyFont="1" applyBorder="1" applyAlignment="1">
      <alignment horizontal="left" vertical="center" wrapText="1" indent="2"/>
    </xf>
    <xf numFmtId="0" fontId="9" fillId="0" borderId="2" xfId="0" applyFont="1" applyBorder="1" applyAlignment="1">
      <alignment vertical="center" wrapText="1"/>
    </xf>
    <xf numFmtId="0" fontId="9" fillId="15" borderId="0" xfId="0" applyFont="1" applyFill="1" applyAlignment="1">
      <alignment wrapText="1"/>
    </xf>
    <xf numFmtId="0" fontId="12" fillId="0" borderId="0" xfId="0" applyFont="1" applyAlignment="1">
      <alignment wrapText="1"/>
    </xf>
    <xf numFmtId="0" fontId="8" fillId="8" borderId="2" xfId="0" applyFont="1" applyFill="1" applyBorder="1" applyAlignment="1">
      <alignment vertical="center" wrapText="1"/>
    </xf>
    <xf numFmtId="0" fontId="4" fillId="8" borderId="2" xfId="0" applyFont="1" applyFill="1" applyBorder="1" applyAlignment="1">
      <alignment vertical="center" wrapText="1"/>
    </xf>
    <xf numFmtId="0" fontId="9" fillId="16" borderId="0" xfId="0" applyFont="1" applyFill="1" applyAlignment="1">
      <alignment wrapText="1"/>
    </xf>
    <xf numFmtId="0" fontId="0" fillId="0" borderId="2" xfId="0" applyBorder="1" applyAlignment="1">
      <alignment vertical="center" wrapText="1"/>
    </xf>
    <xf numFmtId="0" fontId="11" fillId="0" borderId="0" xfId="0" applyFont="1" applyAlignment="1">
      <alignment wrapText="1"/>
    </xf>
    <xf numFmtId="0" fontId="1" fillId="0" borderId="0" xfId="0" applyFont="1" applyAlignment="1">
      <alignment horizontal="center" wrapText="1"/>
    </xf>
    <xf numFmtId="0" fontId="1" fillId="0" borderId="0" xfId="0" applyFont="1" applyAlignment="1">
      <alignment wrapText="1"/>
    </xf>
    <xf numFmtId="0" fontId="4" fillId="8" borderId="3" xfId="0" applyFont="1" applyFill="1" applyBorder="1" applyAlignment="1">
      <alignment horizontal="center" vertical="top" wrapText="1"/>
    </xf>
    <xf numFmtId="0" fontId="1" fillId="10" borderId="0" xfId="0" applyFont="1" applyFill="1" applyAlignment="1">
      <alignment vertical="center" wrapText="1"/>
    </xf>
    <xf numFmtId="0" fontId="6" fillId="9" borderId="16" xfId="0" applyFont="1" applyFill="1" applyBorder="1" applyAlignment="1">
      <alignment wrapText="1"/>
    </xf>
    <xf numFmtId="0" fontId="1" fillId="0" borderId="3" xfId="0" applyFont="1" applyBorder="1" applyAlignment="1">
      <alignment vertical="center" wrapText="1"/>
    </xf>
    <xf numFmtId="0" fontId="0" fillId="10" borderId="3" xfId="0" applyFill="1" applyBorder="1" applyAlignment="1">
      <alignment wrapText="1"/>
    </xf>
    <xf numFmtId="0" fontId="5" fillId="10" borderId="3" xfId="0" applyFont="1" applyFill="1" applyBorder="1" applyAlignment="1">
      <alignment wrapText="1"/>
    </xf>
    <xf numFmtId="0" fontId="1" fillId="10" borderId="3" xfId="0" applyFont="1" applyFill="1" applyBorder="1" applyAlignment="1">
      <alignment wrapText="1"/>
    </xf>
    <xf numFmtId="0" fontId="6" fillId="0" borderId="3" xfId="0" applyFont="1" applyBorder="1" applyAlignment="1">
      <alignment vertical="center" wrapText="1"/>
    </xf>
    <xf numFmtId="0" fontId="6" fillId="9" borderId="14" xfId="0" applyFont="1" applyFill="1" applyBorder="1" applyAlignment="1">
      <alignment wrapText="1"/>
    </xf>
    <xf numFmtId="0" fontId="6" fillId="9" borderId="15" xfId="0" applyFont="1" applyFill="1" applyBorder="1" applyAlignment="1">
      <alignment horizontal="center" wrapText="1"/>
    </xf>
    <xf numFmtId="167" fontId="1" fillId="0" borderId="0" xfId="0" applyNumberFormat="1" applyFont="1" applyAlignment="1">
      <alignment wrapText="1"/>
    </xf>
    <xf numFmtId="168" fontId="1" fillId="10" borderId="3" xfId="0" applyNumberFormat="1" applyFont="1" applyFill="1" applyBorder="1" applyAlignment="1">
      <alignment wrapText="1"/>
    </xf>
    <xf numFmtId="165" fontId="1" fillId="10" borderId="3" xfId="4" applyFill="1" applyBorder="1" applyAlignment="1" applyProtection="1">
      <alignment horizontal="center" vertical="center" wrapText="1"/>
    </xf>
    <xf numFmtId="0" fontId="21" fillId="20" borderId="0" xfId="0" applyFont="1" applyFill="1"/>
    <xf numFmtId="0" fontId="21" fillId="20" borderId="0" xfId="0" applyFont="1" applyFill="1" applyAlignment="1">
      <alignment vertical="center"/>
    </xf>
    <xf numFmtId="0" fontId="25" fillId="21" borderId="35" xfId="0" applyFont="1" applyFill="1" applyBorder="1" applyAlignment="1">
      <alignment wrapText="1"/>
    </xf>
    <xf numFmtId="0" fontId="25" fillId="21" borderId="36" xfId="0" applyFont="1" applyFill="1" applyBorder="1" applyAlignment="1">
      <alignment vertical="center" wrapText="1"/>
    </xf>
    <xf numFmtId="0" fontId="26" fillId="20" borderId="38" xfId="0" applyFont="1" applyFill="1" applyBorder="1" applyAlignment="1">
      <alignment vertical="center" wrapText="1"/>
    </xf>
    <xf numFmtId="0" fontId="3" fillId="20" borderId="39" xfId="3" applyFill="1" applyBorder="1" applyAlignment="1">
      <alignment vertical="center" wrapText="1"/>
    </xf>
    <xf numFmtId="0" fontId="27" fillId="16" borderId="40" xfId="0" applyFont="1" applyFill="1" applyBorder="1" applyAlignment="1">
      <alignment vertical="center" wrapText="1"/>
    </xf>
    <xf numFmtId="0" fontId="26" fillId="16" borderId="9" xfId="0" applyFont="1" applyFill="1" applyBorder="1" applyAlignment="1">
      <alignment vertical="center" wrapText="1"/>
    </xf>
    <xf numFmtId="0" fontId="26" fillId="16" borderId="41" xfId="0" applyFont="1" applyFill="1" applyBorder="1" applyAlignment="1">
      <alignment horizontal="center" vertical="center" wrapText="1"/>
    </xf>
    <xf numFmtId="0" fontId="3" fillId="16" borderId="13" xfId="3" applyFill="1" applyBorder="1" applyAlignment="1">
      <alignment vertical="center" wrapText="1"/>
    </xf>
    <xf numFmtId="0" fontId="26" fillId="20" borderId="39" xfId="0" applyFont="1" applyFill="1" applyBorder="1" applyAlignment="1">
      <alignment vertical="center" wrapText="1"/>
    </xf>
    <xf numFmtId="0" fontId="21" fillId="20" borderId="18" xfId="0" applyFont="1" applyFill="1" applyBorder="1" applyAlignment="1">
      <alignment vertical="center" wrapText="1"/>
    </xf>
    <xf numFmtId="0" fontId="21" fillId="20" borderId="18" xfId="0" applyFont="1" applyFill="1" applyBorder="1" applyAlignment="1">
      <alignment vertical="top" wrapText="1"/>
    </xf>
    <xf numFmtId="0" fontId="21" fillId="20" borderId="43" xfId="0" applyFont="1" applyFill="1" applyBorder="1" applyAlignment="1">
      <alignment vertical="top" wrapText="1"/>
    </xf>
    <xf numFmtId="0" fontId="21" fillId="20" borderId="4" xfId="0" applyFont="1" applyFill="1" applyBorder="1" applyAlignment="1">
      <alignment vertical="top" wrapText="1"/>
    </xf>
    <xf numFmtId="0" fontId="0" fillId="2" borderId="2" xfId="0" applyFill="1" applyBorder="1" applyProtection="1">
      <protection locked="0"/>
    </xf>
    <xf numFmtId="0" fontId="0" fillId="2" borderId="2" xfId="0" applyFill="1" applyBorder="1" applyAlignment="1" applyProtection="1">
      <alignment horizontal="right"/>
      <protection locked="0"/>
    </xf>
    <xf numFmtId="165" fontId="0" fillId="2" borderId="2" xfId="4" applyFont="1" applyFill="1" applyBorder="1" applyProtection="1">
      <protection locked="0"/>
    </xf>
    <xf numFmtId="168" fontId="0" fillId="2" borderId="2" xfId="0" applyNumberFormat="1" applyFill="1" applyBorder="1" applyAlignment="1" applyProtection="1">
      <alignment horizontal="center" vertical="center" wrapText="1"/>
      <protection locked="0"/>
    </xf>
    <xf numFmtId="0" fontId="1" fillId="2" borderId="2" xfId="0" applyFont="1" applyFill="1" applyBorder="1" applyAlignment="1" applyProtection="1">
      <alignment vertical="center" wrapText="1"/>
      <protection locked="0"/>
    </xf>
    <xf numFmtId="0" fontId="1" fillId="2" borderId="24" xfId="0" applyFont="1" applyFill="1" applyBorder="1" applyAlignment="1" applyProtection="1">
      <alignment vertical="center" wrapText="1"/>
      <protection locked="0"/>
    </xf>
    <xf numFmtId="168" fontId="0" fillId="11" borderId="2" xfId="0" applyNumberFormat="1" applyFill="1" applyBorder="1" applyAlignment="1" applyProtection="1">
      <alignment horizontal="center" vertical="center" wrapText="1"/>
      <protection locked="0"/>
    </xf>
    <xf numFmtId="0" fontId="1" fillId="11" borderId="24" xfId="0" applyFont="1" applyFill="1" applyBorder="1" applyAlignment="1" applyProtection="1">
      <alignment vertical="center" wrapText="1"/>
      <protection locked="0"/>
    </xf>
    <xf numFmtId="0" fontId="1" fillId="0" borderId="0" xfId="0" applyFont="1" applyAlignment="1" applyProtection="1">
      <alignment wrapText="1"/>
      <protection locked="0"/>
    </xf>
    <xf numFmtId="168" fontId="1" fillId="2" borderId="3" xfId="0" applyNumberFormat="1" applyFont="1" applyFill="1" applyBorder="1" applyAlignment="1" applyProtection="1">
      <alignment wrapText="1"/>
      <protection locked="0"/>
    </xf>
    <xf numFmtId="170" fontId="1" fillId="2" borderId="3" xfId="1" applyNumberFormat="1" applyFill="1" applyBorder="1" applyAlignment="1" applyProtection="1">
      <alignment horizontal="center" vertical="center" wrapText="1"/>
      <protection locked="0"/>
    </xf>
    <xf numFmtId="0" fontId="1" fillId="2" borderId="3" xfId="6" applyNumberFormat="1" applyFill="1" applyBorder="1" applyAlignment="1" applyProtection="1">
      <alignment horizontal="center" vertical="center" wrapText="1"/>
      <protection locked="0"/>
    </xf>
    <xf numFmtId="169" fontId="0" fillId="2" borderId="2" xfId="4" applyNumberFormat="1" applyFont="1" applyFill="1" applyBorder="1" applyAlignment="1" applyProtection="1">
      <alignment horizontal="right"/>
      <protection locked="0"/>
    </xf>
    <xf numFmtId="169" fontId="0" fillId="2" borderId="2" xfId="4" applyNumberFormat="1" applyFont="1" applyFill="1" applyBorder="1" applyProtection="1">
      <protection locked="0"/>
    </xf>
    <xf numFmtId="169" fontId="0" fillId="18" borderId="2" xfId="4" applyNumberFormat="1" applyFont="1" applyFill="1" applyBorder="1"/>
    <xf numFmtId="169" fontId="0" fillId="17" borderId="2" xfId="0" applyNumberFormat="1" applyFill="1" applyBorder="1"/>
    <xf numFmtId="1" fontId="0" fillId="18" borderId="2" xfId="0" applyNumberFormat="1" applyFill="1" applyBorder="1" applyAlignment="1">
      <alignment horizontal="right"/>
    </xf>
    <xf numFmtId="1" fontId="0" fillId="18" borderId="2" xfId="0" applyNumberFormat="1" applyFill="1" applyBorder="1"/>
    <xf numFmtId="0" fontId="21" fillId="22" borderId="2" xfId="0" applyFont="1" applyFill="1" applyBorder="1" applyAlignment="1">
      <alignment horizontal="center" vertical="center" wrapText="1"/>
    </xf>
    <xf numFmtId="0" fontId="21" fillId="23" borderId="2" xfId="0" applyFont="1" applyFill="1" applyBorder="1" applyAlignment="1">
      <alignment horizontal="center" wrapText="1"/>
    </xf>
    <xf numFmtId="0" fontId="0" fillId="2" borderId="2" xfId="6" applyFont="1" applyFill="1" applyBorder="1" applyAlignment="1" applyProtection="1">
      <alignment horizontal="center" vertical="center" wrapText="1"/>
    </xf>
    <xf numFmtId="0" fontId="29" fillId="0" borderId="2" xfId="0" applyFont="1" applyBorder="1" applyAlignment="1">
      <alignment vertical="center" wrapText="1"/>
    </xf>
    <xf numFmtId="0" fontId="0" fillId="2" borderId="2" xfId="0" applyFill="1" applyBorder="1" applyAlignment="1">
      <alignment horizontal="center" vertical="center" wrapText="1"/>
    </xf>
    <xf numFmtId="0" fontId="0" fillId="0" borderId="3" xfId="0" applyBorder="1" applyAlignment="1">
      <alignment vertical="center" wrapText="1"/>
    </xf>
    <xf numFmtId="0" fontId="0" fillId="0" borderId="2" xfId="0" applyBorder="1" applyAlignment="1">
      <alignment horizontal="left" vertical="center" wrapText="1" indent="1"/>
    </xf>
    <xf numFmtId="0" fontId="0" fillId="0" borderId="2" xfId="0" applyBorder="1" applyAlignment="1">
      <alignment horizontal="left" vertical="center" wrapText="1" indent="2"/>
    </xf>
    <xf numFmtId="0" fontId="18" fillId="0" borderId="0" xfId="0" applyFont="1" applyAlignment="1">
      <alignment horizontal="left" vertical="center" wrapText="1"/>
    </xf>
    <xf numFmtId="0" fontId="31" fillId="0" borderId="2" xfId="0" applyFont="1" applyBorder="1" applyAlignment="1">
      <alignment vertical="center" wrapText="1"/>
    </xf>
    <xf numFmtId="0" fontId="0" fillId="10" borderId="2" xfId="0" applyFill="1" applyBorder="1"/>
    <xf numFmtId="0" fontId="7" fillId="14" borderId="2" xfId="0" applyFont="1" applyFill="1" applyBorder="1" applyAlignment="1">
      <alignment horizontal="left" vertical="center" wrapText="1"/>
    </xf>
    <xf numFmtId="0" fontId="6" fillId="9" borderId="2" xfId="0" applyFont="1" applyFill="1" applyBorder="1" applyAlignment="1">
      <alignment horizontal="left" vertical="center" wrapText="1"/>
    </xf>
    <xf numFmtId="0" fontId="29" fillId="20" borderId="18" xfId="0" applyFont="1" applyFill="1" applyBorder="1" applyAlignment="1">
      <alignment horizontal="left" vertical="center" wrapText="1"/>
    </xf>
    <xf numFmtId="0" fontId="29" fillId="20" borderId="43" xfId="0" applyFont="1" applyFill="1" applyBorder="1" applyAlignment="1">
      <alignment horizontal="left" vertical="center" wrapText="1"/>
    </xf>
    <xf numFmtId="0" fontId="29" fillId="20" borderId="4" xfId="0" applyFont="1" applyFill="1" applyBorder="1" applyAlignment="1">
      <alignment horizontal="left" vertical="center" wrapText="1"/>
    </xf>
    <xf numFmtId="0" fontId="21" fillId="20" borderId="29" xfId="0" applyFont="1" applyFill="1" applyBorder="1"/>
    <xf numFmtId="0" fontId="20" fillId="20" borderId="0" xfId="0" applyFont="1" applyFill="1" applyAlignment="1">
      <alignment horizontal="center"/>
    </xf>
    <xf numFmtId="0" fontId="22" fillId="20" borderId="0" xfId="0" applyFont="1" applyFill="1" applyAlignment="1">
      <alignment horizontal="center"/>
    </xf>
    <xf numFmtId="0" fontId="23" fillId="20" borderId="0" xfId="0" applyFont="1" applyFill="1" applyAlignment="1">
      <alignment horizontal="left" vertical="center" wrapText="1"/>
    </xf>
    <xf numFmtId="0" fontId="26" fillId="20" borderId="37" xfId="0" applyFont="1" applyFill="1" applyBorder="1" applyAlignment="1">
      <alignment horizontal="left" vertical="center" wrapText="1"/>
    </xf>
    <xf numFmtId="0" fontId="26" fillId="20" borderId="44" xfId="0" applyFont="1" applyFill="1" applyBorder="1" applyAlignment="1">
      <alignment horizontal="left" vertical="center" wrapText="1"/>
    </xf>
    <xf numFmtId="0" fontId="26" fillId="20" borderId="42" xfId="0" applyFont="1" applyFill="1" applyBorder="1" applyAlignment="1">
      <alignment horizontal="left" vertical="center" wrapText="1"/>
    </xf>
    <xf numFmtId="0" fontId="26" fillId="20" borderId="31" xfId="0" applyFont="1" applyFill="1" applyBorder="1" applyAlignment="1">
      <alignment horizontal="left" vertical="center" wrapText="1"/>
    </xf>
    <xf numFmtId="0" fontId="16" fillId="0" borderId="24" xfId="0" applyFont="1" applyBorder="1" applyAlignment="1">
      <alignment horizontal="left" vertical="top" wrapText="1"/>
    </xf>
    <xf numFmtId="0" fontId="16" fillId="0" borderId="33" xfId="0" applyFont="1" applyBorder="1" applyAlignment="1">
      <alignment horizontal="left" vertical="top" wrapText="1"/>
    </xf>
    <xf numFmtId="0" fontId="16" fillId="0" borderId="34" xfId="0" applyFont="1" applyBorder="1" applyAlignment="1">
      <alignment horizontal="left" vertical="top" wrapText="1"/>
    </xf>
    <xf numFmtId="0" fontId="16" fillId="0" borderId="2" xfId="0" applyFont="1" applyBorder="1" applyAlignment="1">
      <alignment horizontal="left" vertical="center" wrapText="1"/>
    </xf>
    <xf numFmtId="0" fontId="18" fillId="0" borderId="2" xfId="0" applyFont="1" applyBorder="1" applyAlignment="1">
      <alignment horizontal="left" vertical="center" wrapText="1"/>
    </xf>
    <xf numFmtId="0" fontId="16" fillId="0" borderId="26" xfId="0" applyFont="1" applyBorder="1" applyAlignment="1">
      <alignment horizontal="left" vertical="top" wrapText="1"/>
    </xf>
    <xf numFmtId="0" fontId="16" fillId="0" borderId="27" xfId="0" applyFont="1" applyBorder="1" applyAlignment="1">
      <alignment horizontal="left" vertical="top" wrapText="1"/>
    </xf>
    <xf numFmtId="0" fontId="16" fillId="0" borderId="28" xfId="0" applyFont="1" applyBorder="1" applyAlignment="1">
      <alignment horizontal="left" vertical="top" wrapText="1"/>
    </xf>
    <xf numFmtId="0" fontId="16" fillId="0" borderId="29" xfId="0" applyFont="1" applyBorder="1" applyAlignment="1">
      <alignment horizontal="left" vertical="top" wrapText="1"/>
    </xf>
    <xf numFmtId="0" fontId="16" fillId="0" borderId="0" xfId="0" applyFont="1" applyAlignment="1">
      <alignment horizontal="left" vertical="top" wrapText="1"/>
    </xf>
    <xf numFmtId="0" fontId="16" fillId="0" borderId="30" xfId="0" applyFont="1" applyBorder="1" applyAlignment="1">
      <alignment horizontal="left" vertical="top" wrapText="1"/>
    </xf>
    <xf numFmtId="0" fontId="16" fillId="0" borderId="31" xfId="0" applyFont="1" applyBorder="1" applyAlignment="1">
      <alignment horizontal="left" vertical="top" wrapText="1"/>
    </xf>
    <xf numFmtId="0" fontId="16" fillId="0" borderId="25" xfId="0" applyFont="1" applyBorder="1" applyAlignment="1">
      <alignment horizontal="left" vertical="top" wrapText="1"/>
    </xf>
    <xf numFmtId="0" fontId="16" fillId="0" borderId="32" xfId="0" applyFont="1" applyBorder="1" applyAlignment="1">
      <alignment horizontal="left" vertical="top" wrapText="1"/>
    </xf>
    <xf numFmtId="0" fontId="3" fillId="0" borderId="22" xfId="3" applyBorder="1" applyAlignment="1">
      <alignment horizontal="left" vertical="center" wrapText="1"/>
    </xf>
    <xf numFmtId="0" fontId="3" fillId="0" borderId="23" xfId="3" applyBorder="1" applyAlignment="1">
      <alignment horizontal="left" vertical="center" wrapText="1"/>
    </xf>
    <xf numFmtId="0" fontId="8" fillId="8" borderId="2" xfId="0" applyFont="1" applyFill="1" applyBorder="1" applyAlignment="1">
      <alignment horizontal="left" wrapText="1"/>
    </xf>
    <xf numFmtId="0" fontId="0" fillId="0" borderId="0" xfId="0" applyAlignment="1">
      <alignment horizontal="center" vertical="center"/>
    </xf>
    <xf numFmtId="0" fontId="12" fillId="0" borderId="19" xfId="0" applyFont="1" applyBorder="1" applyAlignment="1">
      <alignment horizontal="left" vertical="top" wrapText="1"/>
    </xf>
    <xf numFmtId="0" fontId="12" fillId="0" borderId="20" xfId="0" applyFont="1" applyBorder="1" applyAlignment="1">
      <alignment horizontal="left" vertical="top" wrapText="1"/>
    </xf>
    <xf numFmtId="0" fontId="12" fillId="0" borderId="21" xfId="0" applyFont="1" applyBorder="1" applyAlignment="1">
      <alignment horizontal="left" vertical="top" wrapText="1"/>
    </xf>
    <xf numFmtId="0" fontId="12" fillId="0" borderId="0" xfId="0" applyFont="1" applyAlignment="1">
      <alignment horizontal="left" vertical="top" wrapText="1"/>
    </xf>
    <xf numFmtId="0" fontId="0" fillId="2" borderId="24" xfId="0" applyFill="1" applyBorder="1" applyAlignment="1" applyProtection="1">
      <alignment horizontal="center"/>
      <protection locked="0"/>
    </xf>
    <xf numFmtId="0" fontId="0" fillId="2" borderId="33" xfId="0" applyFill="1" applyBorder="1" applyAlignment="1" applyProtection="1">
      <alignment horizontal="center"/>
      <protection locked="0"/>
    </xf>
    <xf numFmtId="0" fontId="0" fillId="2" borderId="34" xfId="0" applyFill="1" applyBorder="1" applyAlignment="1" applyProtection="1">
      <alignment horizontal="center"/>
      <protection locked="0"/>
    </xf>
    <xf numFmtId="0" fontId="0" fillId="17" borderId="2" xfId="0" applyFill="1" applyBorder="1" applyAlignment="1">
      <alignment horizontal="center" vertical="center" wrapText="1"/>
    </xf>
    <xf numFmtId="0" fontId="4" fillId="14" borderId="7" xfId="0" applyFont="1" applyFill="1" applyBorder="1" applyAlignment="1">
      <alignment horizontal="center"/>
    </xf>
    <xf numFmtId="0" fontId="4" fillId="14" borderId="8" xfId="0" applyFont="1" applyFill="1" applyBorder="1" applyAlignment="1">
      <alignment horizontal="center"/>
    </xf>
    <xf numFmtId="0" fontId="4" fillId="14" borderId="9" xfId="0" applyFont="1" applyFill="1" applyBorder="1" applyAlignment="1">
      <alignment horizontal="center"/>
    </xf>
    <xf numFmtId="0" fontId="0" fillId="0" borderId="10" xfId="0" applyBorder="1" applyAlignment="1">
      <alignment horizontal="left" vertical="top" wrapText="1"/>
    </xf>
    <xf numFmtId="169" fontId="0" fillId="0" borderId="0" xfId="4" applyNumberFormat="1" applyFont="1" applyBorder="1" applyAlignment="1">
      <alignment horizontal="center"/>
    </xf>
    <xf numFmtId="0" fontId="0" fillId="0" borderId="0" xfId="0" applyAlignment="1">
      <alignment horizontal="center"/>
    </xf>
    <xf numFmtId="0" fontId="0" fillId="0" borderId="5" xfId="0" applyBorder="1" applyAlignment="1">
      <alignment horizontal="center"/>
    </xf>
    <xf numFmtId="0" fontId="0" fillId="0" borderId="0" xfId="0" applyAlignment="1">
      <alignment horizontal="right"/>
    </xf>
    <xf numFmtId="0" fontId="0" fillId="0" borderId="5" xfId="0" applyBorder="1" applyAlignment="1">
      <alignment horizontal="right"/>
    </xf>
    <xf numFmtId="165" fontId="0" fillId="0" borderId="0" xfId="0" applyNumberFormat="1" applyAlignment="1">
      <alignment horizontal="right"/>
    </xf>
    <xf numFmtId="165" fontId="0" fillId="0" borderId="0" xfId="4" applyFont="1" applyBorder="1" applyAlignment="1">
      <alignment horizontal="right"/>
    </xf>
    <xf numFmtId="165" fontId="0" fillId="0" borderId="5" xfId="4" applyFont="1" applyBorder="1" applyAlignment="1">
      <alignment horizontal="right"/>
    </xf>
    <xf numFmtId="165" fontId="0" fillId="0" borderId="0" xfId="4" applyFont="1" applyBorder="1" applyAlignment="1">
      <alignment horizontal="center"/>
    </xf>
    <xf numFmtId="165" fontId="0" fillId="0" borderId="5" xfId="4" applyFont="1" applyBorder="1" applyAlignment="1">
      <alignment horizontal="center"/>
    </xf>
    <xf numFmtId="164" fontId="0" fillId="0" borderId="0" xfId="4" applyNumberFormat="1" applyFont="1" applyBorder="1" applyAlignment="1">
      <alignment horizontal="right"/>
    </xf>
    <xf numFmtId="9" fontId="0" fillId="0" borderId="1" xfId="1" applyFont="1" applyBorder="1" applyAlignment="1">
      <alignment horizontal="right"/>
    </xf>
    <xf numFmtId="9" fontId="0" fillId="0" borderId="13" xfId="1" applyFont="1" applyBorder="1" applyAlignment="1">
      <alignment horizontal="right"/>
    </xf>
  </cellXfs>
  <cellStyles count="8">
    <cellStyle name="20% - Accent3" xfId="6" builtinId="38"/>
    <cellStyle name="Accent1" xfId="5" builtinId="29"/>
    <cellStyle name="Comma" xfId="7" builtinId="3"/>
    <cellStyle name="Currency" xfId="4" builtinId="4"/>
    <cellStyle name="Hyperlink" xfId="3" builtinId="8"/>
    <cellStyle name="Normal" xfId="0" builtinId="0"/>
    <cellStyle name="Normal 3" xfId="2" xr:uid="{7501402B-2BFA-40D7-9966-C9AB996BE1A6}"/>
    <cellStyle name="Percent" xfId="1" builtinId="5"/>
  </cellStyles>
  <dxfs count="5">
    <dxf>
      <fill>
        <patternFill>
          <bgColor theme="5" tint="0.59996337778862885"/>
        </patternFill>
      </fill>
    </dxf>
    <dxf>
      <fill>
        <patternFill>
          <bgColor theme="5" tint="0.59996337778862885"/>
        </patternFill>
      </fill>
    </dxf>
    <dxf>
      <fill>
        <patternFill>
          <bgColor theme="5" tint="0.59996337778862885"/>
        </patternFill>
      </fill>
    </dxf>
    <dxf>
      <fill>
        <patternFill>
          <bgColor theme="5" tint="0.59996337778862885"/>
        </patternFill>
      </fill>
    </dxf>
    <dxf>
      <fill>
        <patternFill>
          <bgColor theme="5" tint="0.59996337778862885"/>
        </patternFill>
      </fill>
    </dxf>
  </dxfs>
  <tableStyles count="0" defaultTableStyle="TableStyleMedium2" defaultPivotStyle="PivotStyleLight16"/>
  <colors>
    <mruColors>
      <color rgb="FF0066B3"/>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theme" Target="theme/theme1.xml"/><Relationship Id="rId13"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worksheet" Target="worksheets/sheet7.xml"/><Relationship Id="rId12" Type="http://schemas.microsoft.com/office/2017/10/relationships/person" Target="persons/person.xml"/><Relationship Id="rId2" Type="http://schemas.openxmlformats.org/officeDocument/2006/relationships/worksheet" Target="worksheets/sheet2.xml"/><Relationship Id="rId16" Type="http://schemas.openxmlformats.org/officeDocument/2006/relationships/customXml" Target="../customXml/item3.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sheetMetadata" Target="metadata.xml"/><Relationship Id="rId5" Type="http://schemas.openxmlformats.org/officeDocument/2006/relationships/worksheet" Target="worksheets/sheet5.xml"/><Relationship Id="rId15" Type="http://schemas.openxmlformats.org/officeDocument/2006/relationships/customXml" Target="../customXml/item2.xml"/><Relationship Id="rId10" Type="http://schemas.openxmlformats.org/officeDocument/2006/relationships/sharedStrings" Target="sharedStrings.xml"/><Relationship Id="rId4" Type="http://schemas.openxmlformats.org/officeDocument/2006/relationships/worksheet" Target="worksheets/sheet4.xml"/><Relationship Id="rId9" Type="http://schemas.openxmlformats.org/officeDocument/2006/relationships/styles" Target="styles.xml"/><Relationship Id="rId14" Type="http://schemas.openxmlformats.org/officeDocument/2006/relationships/customXml" Target="../customXml/item1.xml"/></Relationships>
</file>

<file path=xl/persons/person.xml><?xml version="1.0" encoding="utf-8"?>
<personList xmlns="http://schemas.microsoft.com/office/spreadsheetml/2018/threadedcomments" xmlns:x="http://schemas.openxmlformats.org/spreadsheetml/2006/main">
  <person displayName="Lim, Rolanda" id="{A374C876-C4BC-444A-AD61-4A1523DBE489}" userId="S::rolanda.lim@peelregion.ca::502f5573-10b3-4e31-ad26-d26c1d6a28ed" providerId="AD"/>
</personList>
</file>

<file path=xl/theme/theme1.xml><?xml version="1.0" encoding="utf-8"?>
<a:theme xmlns:a="http://schemas.openxmlformats.org/drawingml/2006/main" name="Office 2013 - 2022 Theme">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threadedComments/threadedComment1.xml><?xml version="1.0" encoding="utf-8"?>
<ThreadedComments xmlns="http://schemas.microsoft.com/office/spreadsheetml/2018/threadedcomments" xmlns:x="http://schemas.openxmlformats.org/spreadsheetml/2006/main">
  <threadedComment ref="A7" dT="2022-07-25T15:47:10.02" personId="{A374C876-C4BC-444A-AD61-4A1523DBE489}" id="{B8FF6375-4870-4CF0-8D38-B02ED58E4CBF}">
    <text>Vacancy Loss also applies to Misc. Income</text>
  </threadedComment>
</ThreadedComments>
</file>

<file path=xl/worksheets/_rels/sheet1.xml.rels><?xml version="1.0" encoding="UTF-8" standalone="yes"?>
<Relationships xmlns="http://schemas.openxmlformats.org/package/2006/relationships"><Relationship Id="rId3" Type="http://schemas.openxmlformats.org/officeDocument/2006/relationships/hyperlink" Target="https://www.peelregion.ca/housing/development/affordable-housing-incentives/" TargetMode="External"/><Relationship Id="rId2" Type="http://schemas.openxmlformats.org/officeDocument/2006/relationships/hyperlink" Target="https://www.peelregion.ca/housing/development/affordable-housing-incentives/" TargetMode="External"/><Relationship Id="rId1" Type="http://schemas.openxmlformats.org/officeDocument/2006/relationships/hyperlink" Target="https://www.peelregion.ca/housing/development/affordable-housing-incentives/" TargetMode="External"/><Relationship Id="rId4" Type="http://schemas.openxmlformats.org/officeDocument/2006/relationships/hyperlink" Target="https://www.peelregion.ca/housing/development/affordable-housing-incentives/" TargetMode="External"/></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4.xml.rels><?xml version="1.0" encoding="UTF-8" standalone="yes"?>
<Relationships xmlns="http://schemas.openxmlformats.org/package/2006/relationships"><Relationship Id="rId1" Type="http://schemas.openxmlformats.org/officeDocument/2006/relationships/hyperlink" Target="https://www.ontario.ca/page/municipal-development-and-community-benefits-charges-and-parklands" TargetMode="External"/></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6.xml.rels><?xml version="1.0" encoding="UTF-8" standalone="yes"?>
<Relationships xmlns="http://schemas.openxmlformats.org/package/2006/relationships"><Relationship Id="rId3" Type="http://schemas.openxmlformats.org/officeDocument/2006/relationships/comments" Target="../comments1.xml"/><Relationship Id="rId2" Type="http://schemas.openxmlformats.org/officeDocument/2006/relationships/vmlDrawing" Target="../drawings/vmlDrawing1.vml"/><Relationship Id="rId1" Type="http://schemas.openxmlformats.org/officeDocument/2006/relationships/printerSettings" Target="../printerSettings/printerSettings4.bin"/><Relationship Id="rId4" Type="http://schemas.microsoft.com/office/2017/10/relationships/threadedComment" Target="../threadedComments/threadedComment1.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37B570D-4AF4-4D1F-9971-0BBB97A62FB8}">
  <sheetPr>
    <tabColor rgb="FF0066B3"/>
  </sheetPr>
  <dimension ref="A1:C18"/>
  <sheetViews>
    <sheetView workbookViewId="0">
      <selection activeCell="A4" sqref="A4:B4"/>
    </sheetView>
  </sheetViews>
  <sheetFormatPr defaultColWidth="3" defaultRowHeight="14.4" x14ac:dyDescent="0.3"/>
  <cols>
    <col min="1" max="1" width="23.33203125" bestFit="1" customWidth="1"/>
    <col min="2" max="2" width="66" bestFit="1" customWidth="1"/>
  </cols>
  <sheetData>
    <row r="1" spans="1:3" ht="21" x14ac:dyDescent="0.4">
      <c r="A1" s="163" t="s">
        <v>0</v>
      </c>
      <c r="B1" s="163"/>
      <c r="C1" s="113"/>
    </row>
    <row r="2" spans="1:3" ht="21" x14ac:dyDescent="0.4">
      <c r="A2" s="164" t="s">
        <v>1</v>
      </c>
      <c r="B2" s="164"/>
      <c r="C2" s="113"/>
    </row>
    <row r="3" spans="1:3" x14ac:dyDescent="0.3">
      <c r="A3" s="113"/>
      <c r="B3" s="114"/>
      <c r="C3" s="113"/>
    </row>
    <row r="4" spans="1:3" ht="40.5" customHeight="1" x14ac:dyDescent="0.3">
      <c r="A4" s="165" t="s">
        <v>2</v>
      </c>
      <c r="B4" s="165"/>
      <c r="C4" s="113"/>
    </row>
    <row r="5" spans="1:3" x14ac:dyDescent="0.3">
      <c r="A5" s="113"/>
      <c r="B5" s="114"/>
      <c r="C5" s="113"/>
    </row>
    <row r="6" spans="1:3" x14ac:dyDescent="0.3">
      <c r="A6" s="115" t="s">
        <v>3</v>
      </c>
      <c r="B6" s="116" t="s">
        <v>4</v>
      </c>
      <c r="C6" s="113"/>
    </row>
    <row r="7" spans="1:3" ht="28.8" x14ac:dyDescent="0.3">
      <c r="A7" s="166" t="s">
        <v>5</v>
      </c>
      <c r="B7" s="117" t="s">
        <v>6</v>
      </c>
      <c r="C7" s="113"/>
    </row>
    <row r="8" spans="1:3" x14ac:dyDescent="0.3">
      <c r="A8" s="167"/>
      <c r="B8" s="118" t="s">
        <v>7</v>
      </c>
      <c r="C8" s="113"/>
    </row>
    <row r="9" spans="1:3" ht="28.8" x14ac:dyDescent="0.3">
      <c r="A9" s="119" t="s">
        <v>8</v>
      </c>
      <c r="B9" s="120" t="s">
        <v>9</v>
      </c>
      <c r="C9" s="113"/>
    </row>
    <row r="10" spans="1:3" x14ac:dyDescent="0.3">
      <c r="A10" s="121" t="s">
        <v>10</v>
      </c>
      <c r="B10" s="122" t="s">
        <v>7</v>
      </c>
      <c r="C10" s="113"/>
    </row>
    <row r="11" spans="1:3" ht="28.8" x14ac:dyDescent="0.3">
      <c r="A11" s="166" t="s">
        <v>11</v>
      </c>
      <c r="B11" s="123" t="s">
        <v>12</v>
      </c>
      <c r="C11" s="113"/>
    </row>
    <row r="12" spans="1:3" x14ac:dyDescent="0.3">
      <c r="A12" s="167"/>
      <c r="B12" s="118" t="s">
        <v>7</v>
      </c>
      <c r="C12" s="113"/>
    </row>
    <row r="13" spans="1:3" ht="86.4" x14ac:dyDescent="0.3">
      <c r="A13" s="168" t="s">
        <v>13</v>
      </c>
      <c r="B13" s="124" t="s">
        <v>14</v>
      </c>
      <c r="C13" s="113"/>
    </row>
    <row r="14" spans="1:3" x14ac:dyDescent="0.3">
      <c r="A14" s="169"/>
      <c r="B14" s="118" t="s">
        <v>7</v>
      </c>
      <c r="C14" s="113"/>
    </row>
    <row r="15" spans="1:3" ht="43.2" x14ac:dyDescent="0.3">
      <c r="A15" s="159" t="s">
        <v>15</v>
      </c>
      <c r="B15" s="125" t="s">
        <v>16</v>
      </c>
      <c r="C15" s="162"/>
    </row>
    <row r="16" spans="1:3" x14ac:dyDescent="0.3">
      <c r="A16" s="160"/>
      <c r="B16" s="126"/>
      <c r="C16" s="162"/>
    </row>
    <row r="17" spans="1:3" ht="28.8" x14ac:dyDescent="0.3">
      <c r="A17" s="161"/>
      <c r="B17" s="127" t="s">
        <v>17</v>
      </c>
      <c r="C17" s="162"/>
    </row>
    <row r="18" spans="1:3" x14ac:dyDescent="0.3">
      <c r="A18" s="113"/>
      <c r="B18" s="114"/>
      <c r="C18" s="113"/>
    </row>
  </sheetData>
  <sheetProtection algorithmName="SHA-512" hashValue="BEbC8YSQAFaZJyTME5LGvP1TClYwc5ed6RDGykX3ATYxdHeqGlpLgGYiP/pBUgD8Rc/jBaaNl3laJ9543upoag==" saltValue="vuXa8zZRyfue1MTSFpolBQ==" spinCount="100000" sheet="1" objects="1" scenarios="1" formatColumns="0" formatRows="0"/>
  <mergeCells count="8">
    <mergeCell ref="A15:A17"/>
    <mergeCell ref="C15:C17"/>
    <mergeCell ref="A1:B1"/>
    <mergeCell ref="A2:B2"/>
    <mergeCell ref="A4:B4"/>
    <mergeCell ref="A7:A8"/>
    <mergeCell ref="A11:A12"/>
    <mergeCell ref="A13:A14"/>
  </mergeCells>
  <hyperlinks>
    <hyperlink ref="B8" r:id="rId1" display="https://www.peelregion.ca/housing/development/affordable-housing-incentives/" xr:uid="{56B339BA-22B4-459B-A7AA-D53359A2CD27}"/>
    <hyperlink ref="B10" r:id="rId2" display="https://www.peelregion.ca/housing/development/affordable-housing-incentives/" xr:uid="{012F95B2-E574-4AFE-A86F-2996DB1625B7}"/>
    <hyperlink ref="B12" r:id="rId3" display="https://www.peelregion.ca/housing/development/affordable-housing-incentives/" xr:uid="{07909BBB-8FB4-444D-97DE-4C1CE3F6A5EB}"/>
    <hyperlink ref="B14" r:id="rId4" display="https://www.peelregion.ca/housing/development/affordable-housing-incentives/" xr:uid="{03589A64-BA22-4503-B961-1AC529EF9279}"/>
  </hyperlinks>
  <pageMargins left="0.7" right="0.7" top="0.75" bottom="0.75" header="0.3" footer="0.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2F1FF90-B656-445C-B05B-344F18CF5112}">
  <sheetPr codeName="Sheet1">
    <tabColor theme="7"/>
  </sheetPr>
  <dimension ref="A1:D36"/>
  <sheetViews>
    <sheetView showGridLines="0" topLeftCell="A22" zoomScale="120" zoomScaleNormal="120" workbookViewId="0">
      <selection activeCell="D34" sqref="D34"/>
    </sheetView>
  </sheetViews>
  <sheetFormatPr defaultColWidth="8.88671875" defaultRowHeight="14.4" x14ac:dyDescent="0.3"/>
  <cols>
    <col min="1" max="1" width="55.109375" customWidth="1"/>
    <col min="2" max="2" width="56.44140625" customWidth="1"/>
    <col min="4" max="4" width="28.5546875" customWidth="1"/>
  </cols>
  <sheetData>
    <row r="1" spans="1:4" ht="18" x14ac:dyDescent="0.35">
      <c r="A1" s="69" t="s">
        <v>18</v>
      </c>
      <c r="C1" s="91" t="s">
        <v>19</v>
      </c>
      <c r="D1" s="92" t="s">
        <v>20</v>
      </c>
    </row>
    <row r="2" spans="1:4" ht="15.6" x14ac:dyDescent="0.3">
      <c r="A2" s="93" t="s">
        <v>21</v>
      </c>
      <c r="B2" s="94"/>
      <c r="C2" s="95" t="s">
        <v>19</v>
      </c>
      <c r="D2" s="92" t="s">
        <v>22</v>
      </c>
    </row>
    <row r="3" spans="1:4" x14ac:dyDescent="0.3">
      <c r="A3" s="158" t="s">
        <v>23</v>
      </c>
      <c r="B3" s="158"/>
    </row>
    <row r="4" spans="1:4" x14ac:dyDescent="0.3">
      <c r="A4" s="149" t="s">
        <v>171</v>
      </c>
      <c r="B4" s="1"/>
    </row>
    <row r="5" spans="1:4" x14ac:dyDescent="0.3">
      <c r="A5" s="149" t="s">
        <v>200</v>
      </c>
      <c r="B5" s="1"/>
    </row>
    <row r="6" spans="1:4" ht="28.8" x14ac:dyDescent="0.3">
      <c r="A6" s="149" t="s">
        <v>172</v>
      </c>
      <c r="B6" s="1"/>
    </row>
    <row r="7" spans="1:4" ht="28.8" x14ac:dyDescent="0.3">
      <c r="A7" s="149" t="s">
        <v>175</v>
      </c>
      <c r="B7" s="1"/>
    </row>
    <row r="8" spans="1:4" ht="28.8" x14ac:dyDescent="0.3">
      <c r="A8" s="149" t="s">
        <v>173</v>
      </c>
      <c r="B8" s="1"/>
    </row>
    <row r="9" spans="1:4" ht="43.2" x14ac:dyDescent="0.3">
      <c r="A9" s="149" t="s">
        <v>174</v>
      </c>
      <c r="B9" s="1"/>
    </row>
    <row r="10" spans="1:4" x14ac:dyDescent="0.3">
      <c r="A10" s="158" t="s">
        <v>24</v>
      </c>
      <c r="B10" s="158"/>
    </row>
    <row r="11" spans="1:4" hidden="1" x14ac:dyDescent="0.3">
      <c r="A11" s="96"/>
      <c r="B11" s="146" t="s">
        <v>25</v>
      </c>
    </row>
    <row r="12" spans="1:4" hidden="1" x14ac:dyDescent="0.3">
      <c r="A12" s="96"/>
      <c r="B12" s="146" t="s">
        <v>26</v>
      </c>
    </row>
    <row r="13" spans="1:4" hidden="1" x14ac:dyDescent="0.3">
      <c r="A13" s="96"/>
      <c r="B13" s="146" t="s">
        <v>27</v>
      </c>
    </row>
    <row r="14" spans="1:4" x14ac:dyDescent="0.3">
      <c r="A14" s="96" t="s">
        <v>28</v>
      </c>
      <c r="B14" s="70"/>
    </row>
    <row r="15" spans="1:4" x14ac:dyDescent="0.3">
      <c r="A15" s="149" t="s">
        <v>176</v>
      </c>
      <c r="B15" s="85"/>
    </row>
    <row r="16" spans="1:4" x14ac:dyDescent="0.3">
      <c r="A16" s="149" t="s">
        <v>177</v>
      </c>
      <c r="B16" s="85"/>
    </row>
    <row r="17" spans="1:2" ht="43.2" x14ac:dyDescent="0.3">
      <c r="A17" s="149" t="s">
        <v>178</v>
      </c>
      <c r="B17" s="85"/>
    </row>
    <row r="18" spans="1:2" hidden="1" x14ac:dyDescent="0.3">
      <c r="A18" s="96"/>
      <c r="B18" s="147" t="s">
        <v>29</v>
      </c>
    </row>
    <row r="19" spans="1:2" hidden="1" x14ac:dyDescent="0.3">
      <c r="A19" s="96"/>
      <c r="B19" s="147" t="s">
        <v>30</v>
      </c>
    </row>
    <row r="20" spans="1:2" hidden="1" x14ac:dyDescent="0.3">
      <c r="A20" s="96"/>
      <c r="B20" s="147" t="s">
        <v>31</v>
      </c>
    </row>
    <row r="21" spans="1:2" ht="28.8" x14ac:dyDescent="0.3">
      <c r="A21" s="149" t="s">
        <v>179</v>
      </c>
      <c r="B21" s="70"/>
    </row>
    <row r="22" spans="1:2" x14ac:dyDescent="0.3">
      <c r="A22" s="149" t="s">
        <v>180</v>
      </c>
      <c r="B22" s="70"/>
    </row>
    <row r="23" spans="1:2" ht="28.8" x14ac:dyDescent="0.3">
      <c r="A23" s="149" t="s">
        <v>181</v>
      </c>
      <c r="B23" s="86"/>
    </row>
    <row r="24" spans="1:2" x14ac:dyDescent="0.3">
      <c r="A24" s="96" t="s">
        <v>32</v>
      </c>
      <c r="B24" s="86"/>
    </row>
    <row r="25" spans="1:2" ht="52.2" customHeight="1" x14ac:dyDescent="0.3">
      <c r="A25" s="149" t="s">
        <v>182</v>
      </c>
      <c r="B25" s="1"/>
    </row>
    <row r="26" spans="1:2" x14ac:dyDescent="0.3">
      <c r="A26" s="158" t="s">
        <v>33</v>
      </c>
      <c r="B26" s="158"/>
    </row>
    <row r="27" spans="1:2" x14ac:dyDescent="0.3">
      <c r="A27" s="149" t="s">
        <v>183</v>
      </c>
      <c r="B27" s="148"/>
    </row>
    <row r="28" spans="1:2" ht="20.399999999999999" customHeight="1" x14ac:dyDescent="0.3">
      <c r="A28" s="149" t="s">
        <v>184</v>
      </c>
      <c r="B28" s="1"/>
    </row>
    <row r="29" spans="1:2" x14ac:dyDescent="0.3">
      <c r="A29" s="96" t="s">
        <v>34</v>
      </c>
      <c r="B29" s="1"/>
    </row>
    <row r="30" spans="1:2" ht="28.8" x14ac:dyDescent="0.3">
      <c r="A30" s="149" t="s">
        <v>185</v>
      </c>
      <c r="B30" s="1"/>
    </row>
    <row r="31" spans="1:2" x14ac:dyDescent="0.3">
      <c r="A31" s="149" t="s">
        <v>186</v>
      </c>
      <c r="B31" s="1"/>
    </row>
    <row r="32" spans="1:2" ht="37.200000000000003" customHeight="1" x14ac:dyDescent="0.3">
      <c r="A32" s="96" t="s">
        <v>35</v>
      </c>
      <c r="B32" s="148"/>
    </row>
    <row r="33" spans="1:2" x14ac:dyDescent="0.3">
      <c r="A33" s="158" t="s">
        <v>36</v>
      </c>
      <c r="B33" s="158"/>
    </row>
    <row r="34" spans="1:2" x14ac:dyDescent="0.3">
      <c r="A34" s="96" t="s">
        <v>188</v>
      </c>
      <c r="B34" s="2"/>
    </row>
    <row r="35" spans="1:2" x14ac:dyDescent="0.3">
      <c r="A35" s="96" t="s">
        <v>187</v>
      </c>
      <c r="B35" s="150"/>
    </row>
    <row r="36" spans="1:2" ht="99.6" customHeight="1" x14ac:dyDescent="0.3">
      <c r="A36" s="3" t="s">
        <v>189</v>
      </c>
      <c r="B36" s="2"/>
    </row>
  </sheetData>
  <sheetProtection formatColumns="0" formatRows="0"/>
  <mergeCells count="4">
    <mergeCell ref="A3:B3"/>
    <mergeCell ref="A10:B10"/>
    <mergeCell ref="A26:B26"/>
    <mergeCell ref="A33:B33"/>
  </mergeCells>
  <dataValidations count="1">
    <dataValidation type="list" allowBlank="1" showInputMessage="1" showErrorMessage="1" promptTitle="SELECT" prompt="Select from drop down menu" sqref="B34" xr:uid="{EA4824DB-18F3-49FF-AF87-D684BC65C211}">
      <formula1>$B$35:$B$35</formula1>
    </dataValidation>
  </dataValidations>
  <pageMargins left="0.7" right="0.7" top="0.75" bottom="0.75" header="0.3" footer="0.3"/>
  <pageSetup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DC9CF7-65A4-46A2-8C7E-D12743C64062}">
  <sheetPr codeName="Sheet3">
    <tabColor theme="7"/>
  </sheetPr>
  <dimension ref="A1:H46"/>
  <sheetViews>
    <sheetView showGridLines="0" topLeftCell="A26" zoomScale="120" zoomScaleNormal="120" workbookViewId="0">
      <selection activeCell="E41" sqref="E41"/>
    </sheetView>
  </sheetViews>
  <sheetFormatPr defaultColWidth="8.88671875" defaultRowHeight="14.4" x14ac:dyDescent="0.3"/>
  <cols>
    <col min="1" max="1" width="66.33203125" style="51" customWidth="1"/>
    <col min="2" max="2" width="17.6640625" style="62" customWidth="1"/>
    <col min="3" max="3" width="58" style="51" customWidth="1"/>
    <col min="4" max="4" width="15.6640625" style="51" customWidth="1"/>
    <col min="5" max="5" width="38.5546875" style="51" customWidth="1"/>
    <col min="6" max="6" width="8.88671875" style="51" customWidth="1"/>
    <col min="7" max="16384" width="8.88671875" style="51"/>
  </cols>
  <sheetData>
    <row r="1" spans="1:8" ht="18" x14ac:dyDescent="0.3">
      <c r="A1" s="50" t="s">
        <v>37</v>
      </c>
      <c r="D1" s="52"/>
      <c r="E1" s="53" t="s">
        <v>20</v>
      </c>
    </row>
    <row r="2" spans="1:8" ht="28.8" x14ac:dyDescent="0.3">
      <c r="A2" s="64" t="s">
        <v>38</v>
      </c>
      <c r="B2" s="65" t="s">
        <v>39</v>
      </c>
      <c r="C2" s="66" t="s">
        <v>40</v>
      </c>
      <c r="D2" s="55"/>
      <c r="E2" s="53" t="s">
        <v>22</v>
      </c>
    </row>
    <row r="3" spans="1:8" x14ac:dyDescent="0.3">
      <c r="A3" s="74" t="s">
        <v>41</v>
      </c>
      <c r="B3" s="75"/>
      <c r="C3" s="74"/>
    </row>
    <row r="4" spans="1:8" x14ac:dyDescent="0.3">
      <c r="A4" s="76" t="s">
        <v>42</v>
      </c>
      <c r="B4" s="131"/>
      <c r="C4" s="132"/>
    </row>
    <row r="5" spans="1:8" ht="28.95" customHeight="1" x14ac:dyDescent="0.3">
      <c r="A5" s="76" t="s">
        <v>201</v>
      </c>
      <c r="B5" s="131"/>
      <c r="C5" s="132"/>
      <c r="D5" s="170" t="s">
        <v>43</v>
      </c>
      <c r="E5" s="171"/>
      <c r="F5" s="171"/>
      <c r="G5" s="172"/>
    </row>
    <row r="6" spans="1:8" x14ac:dyDescent="0.3">
      <c r="A6" s="76" t="s">
        <v>44</v>
      </c>
      <c r="B6" s="131"/>
      <c r="C6" s="132"/>
    </row>
    <row r="7" spans="1:8" x14ac:dyDescent="0.3">
      <c r="A7" s="76" t="s">
        <v>45</v>
      </c>
      <c r="B7" s="78">
        <f>SUM(B8:B11,B18:B20)</f>
        <v>0</v>
      </c>
      <c r="C7" s="81"/>
    </row>
    <row r="8" spans="1:8" x14ac:dyDescent="0.3">
      <c r="A8" s="152" t="s">
        <v>195</v>
      </c>
      <c r="B8" s="131"/>
      <c r="C8" s="132"/>
    </row>
    <row r="9" spans="1:8" ht="28.8" x14ac:dyDescent="0.3">
      <c r="A9" s="152" t="s">
        <v>194</v>
      </c>
      <c r="B9" s="131"/>
      <c r="C9" s="132"/>
    </row>
    <row r="10" spans="1:8" x14ac:dyDescent="0.3">
      <c r="A10" s="79" t="s">
        <v>46</v>
      </c>
      <c r="B10" s="131"/>
      <c r="C10" s="132"/>
    </row>
    <row r="11" spans="1:8" ht="14.4" customHeight="1" x14ac:dyDescent="0.3">
      <c r="A11" s="79" t="s">
        <v>47</v>
      </c>
      <c r="B11" s="78">
        <f>SUM(B12:B17)</f>
        <v>0</v>
      </c>
      <c r="C11" s="88"/>
      <c r="D11" s="175" t="s">
        <v>48</v>
      </c>
      <c r="E11" s="176"/>
      <c r="F11" s="176"/>
      <c r="G11" s="177"/>
      <c r="H11" s="87"/>
    </row>
    <row r="12" spans="1:8" ht="14.4" customHeight="1" x14ac:dyDescent="0.3">
      <c r="A12" s="89" t="s">
        <v>49</v>
      </c>
      <c r="B12" s="131"/>
      <c r="C12" s="133"/>
      <c r="D12" s="178"/>
      <c r="E12" s="179"/>
      <c r="F12" s="179"/>
      <c r="G12" s="180"/>
      <c r="H12" s="87"/>
    </row>
    <row r="13" spans="1:8" x14ac:dyDescent="0.3">
      <c r="A13" s="89" t="s">
        <v>50</v>
      </c>
      <c r="B13" s="131"/>
      <c r="C13" s="133"/>
      <c r="D13" s="178"/>
      <c r="E13" s="179"/>
      <c r="F13" s="179"/>
      <c r="G13" s="180"/>
      <c r="H13" s="87"/>
    </row>
    <row r="14" spans="1:8" x14ac:dyDescent="0.3">
      <c r="A14" s="89" t="s">
        <v>51</v>
      </c>
      <c r="B14" s="131"/>
      <c r="C14" s="133"/>
      <c r="D14" s="178"/>
      <c r="E14" s="179"/>
      <c r="F14" s="179"/>
      <c r="G14" s="180"/>
      <c r="H14" s="87"/>
    </row>
    <row r="15" spans="1:8" x14ac:dyDescent="0.3">
      <c r="A15" s="153" t="s">
        <v>196</v>
      </c>
      <c r="B15" s="131"/>
      <c r="C15" s="133"/>
      <c r="D15" s="178"/>
      <c r="E15" s="179"/>
      <c r="F15" s="179"/>
      <c r="G15" s="180"/>
      <c r="H15" s="87"/>
    </row>
    <row r="16" spans="1:8" x14ac:dyDescent="0.3">
      <c r="A16" s="89" t="s">
        <v>52</v>
      </c>
      <c r="B16" s="131"/>
      <c r="C16" s="133"/>
      <c r="D16" s="178"/>
      <c r="E16" s="179"/>
      <c r="F16" s="179"/>
      <c r="G16" s="180"/>
      <c r="H16" s="87"/>
    </row>
    <row r="17" spans="1:8" x14ac:dyDescent="0.3">
      <c r="A17" s="89" t="s">
        <v>53</v>
      </c>
      <c r="B17" s="131"/>
      <c r="C17" s="133"/>
      <c r="D17" s="181"/>
      <c r="E17" s="182"/>
      <c r="F17" s="182"/>
      <c r="G17" s="183"/>
      <c r="H17" s="87"/>
    </row>
    <row r="18" spans="1:8" x14ac:dyDescent="0.3">
      <c r="A18" s="79" t="s">
        <v>54</v>
      </c>
      <c r="B18" s="131"/>
      <c r="C18" s="132"/>
    </row>
    <row r="19" spans="1:8" x14ac:dyDescent="0.3">
      <c r="A19" s="79" t="s">
        <v>55</v>
      </c>
      <c r="B19" s="131"/>
      <c r="C19" s="132"/>
    </row>
    <row r="20" spans="1:8" x14ac:dyDescent="0.3">
      <c r="A20" s="79" t="s">
        <v>56</v>
      </c>
      <c r="B20" s="131"/>
      <c r="C20" s="132"/>
    </row>
    <row r="21" spans="1:8" x14ac:dyDescent="0.3">
      <c r="A21" s="76" t="s">
        <v>57</v>
      </c>
      <c r="B21" s="131"/>
      <c r="C21" s="132"/>
    </row>
    <row r="22" spans="1:8" x14ac:dyDescent="0.3">
      <c r="A22" s="96" t="s">
        <v>197</v>
      </c>
      <c r="B22" s="131"/>
      <c r="C22" s="132"/>
    </row>
    <row r="23" spans="1:8" x14ac:dyDescent="0.3">
      <c r="A23" s="76" t="s">
        <v>58</v>
      </c>
      <c r="B23" s="131"/>
      <c r="C23" s="132"/>
    </row>
    <row r="24" spans="1:8" x14ac:dyDescent="0.3">
      <c r="A24" s="76" t="s">
        <v>59</v>
      </c>
      <c r="B24" s="131"/>
      <c r="C24" s="132"/>
    </row>
    <row r="25" spans="1:8" x14ac:dyDescent="0.3">
      <c r="A25" s="76" t="s">
        <v>60</v>
      </c>
      <c r="B25" s="78">
        <f>SUM(B6:B7,B21:B24)</f>
        <v>0</v>
      </c>
      <c r="C25" s="81"/>
    </row>
    <row r="26" spans="1:8" ht="28.8" x14ac:dyDescent="0.3">
      <c r="A26" s="149" t="s">
        <v>190</v>
      </c>
      <c r="B26" s="134"/>
      <c r="C26" s="135"/>
      <c r="D26" s="173" t="s">
        <v>61</v>
      </c>
      <c r="E26" s="174"/>
    </row>
    <row r="27" spans="1:8" ht="28.8" x14ac:dyDescent="0.3">
      <c r="A27" s="90" t="s">
        <v>62</v>
      </c>
      <c r="B27" s="131"/>
      <c r="C27" s="133"/>
      <c r="D27" s="174"/>
      <c r="E27" s="174"/>
    </row>
    <row r="28" spans="1:8" ht="28.8" x14ac:dyDescent="0.3">
      <c r="A28" s="155" t="s">
        <v>198</v>
      </c>
      <c r="B28" s="131"/>
      <c r="C28" s="133"/>
      <c r="D28" s="174"/>
      <c r="E28" s="174"/>
    </row>
    <row r="29" spans="1:8" x14ac:dyDescent="0.3">
      <c r="A29" s="90" t="s">
        <v>202</v>
      </c>
      <c r="B29" s="131"/>
      <c r="C29" s="133"/>
      <c r="D29" s="154"/>
      <c r="E29" s="154"/>
    </row>
    <row r="30" spans="1:8" x14ac:dyDescent="0.3">
      <c r="A30" s="76" t="s">
        <v>63</v>
      </c>
      <c r="B30" s="131"/>
      <c r="C30" s="132"/>
    </row>
    <row r="31" spans="1:8" x14ac:dyDescent="0.3">
      <c r="A31" s="76"/>
      <c r="B31" s="77"/>
      <c r="C31" s="76"/>
    </row>
    <row r="32" spans="1:8" x14ac:dyDescent="0.3">
      <c r="A32" s="76" t="s">
        <v>64</v>
      </c>
      <c r="B32" s="78">
        <f>B25-SUM(B26:B30)</f>
        <v>0</v>
      </c>
      <c r="C32" s="81"/>
    </row>
    <row r="33" spans="1:3" x14ac:dyDescent="0.3">
      <c r="A33" s="76"/>
      <c r="B33" s="77"/>
      <c r="C33" s="76"/>
    </row>
    <row r="34" spans="1:3" x14ac:dyDescent="0.3">
      <c r="A34" s="74" t="s">
        <v>65</v>
      </c>
      <c r="B34" s="75"/>
      <c r="C34" s="74"/>
    </row>
    <row r="35" spans="1:3" x14ac:dyDescent="0.3">
      <c r="A35" s="76" t="s">
        <v>66</v>
      </c>
      <c r="B35" s="131"/>
      <c r="C35" s="132"/>
    </row>
    <row r="36" spans="1:3" x14ac:dyDescent="0.3">
      <c r="A36" s="76" t="s">
        <v>67</v>
      </c>
      <c r="B36" s="131"/>
      <c r="C36" s="132"/>
    </row>
    <row r="37" spans="1:3" x14ac:dyDescent="0.3">
      <c r="A37" s="76" t="s">
        <v>68</v>
      </c>
      <c r="B37" s="131"/>
      <c r="C37" s="132"/>
    </row>
    <row r="38" spans="1:3" x14ac:dyDescent="0.3">
      <c r="A38" s="76" t="s">
        <v>69</v>
      </c>
      <c r="B38" s="131"/>
      <c r="C38" s="132"/>
    </row>
    <row r="39" spans="1:3" x14ac:dyDescent="0.3">
      <c r="A39" s="76"/>
      <c r="B39" s="77"/>
      <c r="C39" s="76"/>
    </row>
    <row r="40" spans="1:3" x14ac:dyDescent="0.3">
      <c r="A40" s="76" t="s">
        <v>70</v>
      </c>
      <c r="B40" s="78">
        <f>SUM(B35:B38)</f>
        <v>0</v>
      </c>
      <c r="C40" s="81"/>
    </row>
    <row r="41" spans="1:3" x14ac:dyDescent="0.3">
      <c r="A41" s="76"/>
      <c r="B41" s="77"/>
      <c r="C41" s="76"/>
    </row>
    <row r="42" spans="1:3" ht="28.8" x14ac:dyDescent="0.3">
      <c r="A42" s="76" t="s">
        <v>71</v>
      </c>
      <c r="B42" s="78" t="str">
        <f>IF(B32=B40,"Yes","No")</f>
        <v>Yes</v>
      </c>
      <c r="C42" s="132"/>
    </row>
    <row r="43" spans="1:3" x14ac:dyDescent="0.3">
      <c r="A43" s="76"/>
      <c r="B43" s="77"/>
      <c r="C43" s="76"/>
    </row>
    <row r="44" spans="1:3" x14ac:dyDescent="0.3">
      <c r="A44" s="74" t="s">
        <v>72</v>
      </c>
      <c r="B44" s="75"/>
      <c r="C44" s="74"/>
    </row>
    <row r="45" spans="1:3" x14ac:dyDescent="0.3">
      <c r="A45" s="76" t="s">
        <v>73</v>
      </c>
      <c r="B45" s="131"/>
      <c r="C45" s="132"/>
    </row>
    <row r="46" spans="1:3" x14ac:dyDescent="0.3">
      <c r="A46" s="76" t="s">
        <v>74</v>
      </c>
      <c r="B46" s="80" t="e">
        <f>B45/'3. Proposed Rents'!$B$10</f>
        <v>#DIV/0!</v>
      </c>
      <c r="C46" s="81"/>
    </row>
  </sheetData>
  <sheetProtection formatColumns="0" formatRows="0"/>
  <mergeCells count="3">
    <mergeCell ref="D5:G5"/>
    <mergeCell ref="D26:E28"/>
    <mergeCell ref="D11:G17"/>
  </mergeCells>
  <pageMargins left="0.7" right="0.7" top="0.75" bottom="0.75" header="0.3" footer="0.3"/>
  <pageSetup orientation="portrait"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2654F82-D004-453A-9D01-A660558E2AEC}">
  <sheetPr codeName="Sheet2">
    <tabColor theme="7"/>
  </sheetPr>
  <dimension ref="A1:R33"/>
  <sheetViews>
    <sheetView showGridLines="0" tabSelected="1" topLeftCell="A14" zoomScale="120" zoomScaleNormal="120" workbookViewId="0">
      <selection activeCell="S21" sqref="S21"/>
    </sheetView>
  </sheetViews>
  <sheetFormatPr defaultRowHeight="14.4" outlineLevelCol="1" x14ac:dyDescent="0.3"/>
  <cols>
    <col min="1" max="1" width="57.88671875" customWidth="1"/>
    <col min="2" max="2" width="10.44140625" bestFit="1" customWidth="1"/>
    <col min="3" max="3" width="16.33203125" bestFit="1" customWidth="1"/>
    <col min="4" max="4" width="13.109375" bestFit="1" customWidth="1"/>
    <col min="5" max="5" width="20.109375" customWidth="1"/>
    <col min="6" max="6" width="8.88671875" customWidth="1"/>
    <col min="7" max="7" width="9.109375" customWidth="1"/>
    <col min="8" max="8" width="8.88671875" hidden="1" customWidth="1" outlineLevel="1"/>
    <col min="9" max="9" width="13.88671875" hidden="1" customWidth="1" outlineLevel="1"/>
    <col min="10" max="12" width="9.6640625" hidden="1" customWidth="1" outlineLevel="1"/>
    <col min="13" max="13" width="8.88671875" hidden="1" customWidth="1" outlineLevel="1"/>
    <col min="14" max="17" width="9.6640625" hidden="1" customWidth="1" outlineLevel="1"/>
    <col min="18" max="18" width="9.109375" hidden="1" customWidth="1" collapsed="1"/>
  </cols>
  <sheetData>
    <row r="1" spans="1:17" ht="18" x14ac:dyDescent="0.35">
      <c r="A1" s="69" t="s">
        <v>75</v>
      </c>
    </row>
    <row r="2" spans="1:17" ht="15.6" x14ac:dyDescent="0.3">
      <c r="A2" s="186" t="s">
        <v>76</v>
      </c>
      <c r="B2" s="186"/>
      <c r="C2" s="186"/>
      <c r="D2" s="186"/>
      <c r="E2" s="186"/>
    </row>
    <row r="3" spans="1:17" ht="28.8" x14ac:dyDescent="0.3">
      <c r="A3" s="4" t="s">
        <v>77</v>
      </c>
      <c r="B3" s="4" t="s">
        <v>78</v>
      </c>
      <c r="C3" s="4" t="s">
        <v>79</v>
      </c>
      <c r="D3" s="4" t="s">
        <v>80</v>
      </c>
      <c r="E3" s="4" t="s">
        <v>81</v>
      </c>
      <c r="H3" s="187" t="s">
        <v>82</v>
      </c>
      <c r="I3" s="187"/>
      <c r="J3" s="187"/>
      <c r="K3" s="187"/>
      <c r="L3" s="187"/>
      <c r="M3" s="187"/>
      <c r="N3" s="187"/>
      <c r="O3" s="187"/>
      <c r="P3" s="187"/>
      <c r="Q3" s="187"/>
    </row>
    <row r="4" spans="1:17" x14ac:dyDescent="0.3">
      <c r="A4" s="82" t="s">
        <v>199</v>
      </c>
      <c r="B4" s="192"/>
      <c r="C4" s="193"/>
      <c r="D4" s="193"/>
      <c r="E4" s="194"/>
    </row>
    <row r="5" spans="1:17" x14ac:dyDescent="0.3">
      <c r="A5" s="157" t="s">
        <v>83</v>
      </c>
      <c r="B5" s="195"/>
      <c r="C5" s="195"/>
      <c r="D5" s="195"/>
      <c r="E5" s="195"/>
    </row>
    <row r="6" spans="1:17" x14ac:dyDescent="0.3">
      <c r="A6" s="3" t="s">
        <v>84</v>
      </c>
      <c r="B6" s="128"/>
      <c r="C6" s="129"/>
      <c r="D6" s="140"/>
      <c r="E6" s="142">
        <v>1003</v>
      </c>
      <c r="H6" t="s">
        <v>85</v>
      </c>
      <c r="I6" s="40">
        <v>1100</v>
      </c>
      <c r="J6" s="40">
        <v>1480</v>
      </c>
      <c r="K6" s="40">
        <v>1620</v>
      </c>
      <c r="L6" s="40">
        <v>1794</v>
      </c>
      <c r="M6" s="40"/>
      <c r="N6" s="40">
        <v>1300</v>
      </c>
      <c r="O6" s="40">
        <v>1570</v>
      </c>
      <c r="P6" s="40">
        <v>1680</v>
      </c>
      <c r="Q6" s="40">
        <v>1800</v>
      </c>
    </row>
    <row r="7" spans="1:17" x14ac:dyDescent="0.3">
      <c r="A7" s="3" t="s">
        <v>86</v>
      </c>
      <c r="B7" s="128"/>
      <c r="C7" s="128"/>
      <c r="D7" s="141"/>
      <c r="E7" s="142">
        <v>1309</v>
      </c>
    </row>
    <row r="8" spans="1:17" x14ac:dyDescent="0.3">
      <c r="A8" s="3" t="s">
        <v>87</v>
      </c>
      <c r="B8" s="128"/>
      <c r="C8" s="128"/>
      <c r="D8" s="141"/>
      <c r="E8" s="142">
        <v>1539</v>
      </c>
    </row>
    <row r="9" spans="1:17" x14ac:dyDescent="0.3">
      <c r="A9" s="3" t="s">
        <v>88</v>
      </c>
      <c r="B9" s="128"/>
      <c r="C9" s="128"/>
      <c r="D9" s="141"/>
      <c r="E9" s="142">
        <v>1758</v>
      </c>
    </row>
    <row r="10" spans="1:17" x14ac:dyDescent="0.3">
      <c r="A10" s="3" t="s">
        <v>89</v>
      </c>
      <c r="B10" s="73">
        <f>SUM(B6:B9)</f>
        <v>0</v>
      </c>
      <c r="C10" s="145" t="e">
        <f>SUMPRODUCT(C6:C9,B6:B9)/B10</f>
        <v>#DIV/0!</v>
      </c>
      <c r="D10" s="142" t="e">
        <f>SUMPRODUCT(D6:D9,B6:B9)/B10</f>
        <v>#DIV/0!</v>
      </c>
      <c r="E10" s="142"/>
    </row>
    <row r="11" spans="1:17" x14ac:dyDescent="0.3">
      <c r="A11" s="84" t="s">
        <v>90</v>
      </c>
      <c r="B11" s="71"/>
      <c r="C11" s="71"/>
      <c r="D11" s="143"/>
      <c r="E11" s="143"/>
    </row>
    <row r="12" spans="1:17" x14ac:dyDescent="0.3">
      <c r="A12" s="3" t="s">
        <v>84</v>
      </c>
      <c r="B12" s="128"/>
      <c r="C12" s="129"/>
      <c r="D12" s="140"/>
      <c r="E12" s="142"/>
    </row>
    <row r="13" spans="1:17" x14ac:dyDescent="0.3">
      <c r="A13" s="3" t="s">
        <v>86</v>
      </c>
      <c r="B13" s="128"/>
      <c r="C13" s="128"/>
      <c r="D13" s="141"/>
      <c r="E13" s="142"/>
    </row>
    <row r="14" spans="1:17" x14ac:dyDescent="0.3">
      <c r="A14" s="3" t="s">
        <v>87</v>
      </c>
      <c r="B14" s="128"/>
      <c r="C14" s="128"/>
      <c r="D14" s="141"/>
      <c r="E14" s="142"/>
    </row>
    <row r="15" spans="1:17" x14ac:dyDescent="0.3">
      <c r="A15" s="3" t="s">
        <v>88</v>
      </c>
      <c r="B15" s="128"/>
      <c r="C15" s="128"/>
      <c r="D15" s="141"/>
      <c r="E15" s="142"/>
    </row>
    <row r="16" spans="1:17" x14ac:dyDescent="0.3">
      <c r="A16" s="3" t="s">
        <v>91</v>
      </c>
      <c r="B16" s="73">
        <f>SUM(B12:B15)</f>
        <v>0</v>
      </c>
      <c r="C16" s="144" t="e">
        <f>SUMPRODUCT(C12:C15,B12:B15)/B16</f>
        <v>#DIV/0!</v>
      </c>
      <c r="D16" s="142" t="e">
        <f>SUMPRODUCT(D12:D15,B12:B15)/B16</f>
        <v>#DIV/0!</v>
      </c>
      <c r="E16" s="142"/>
    </row>
    <row r="17" spans="1:5" x14ac:dyDescent="0.3">
      <c r="A17" s="72" t="s">
        <v>92</v>
      </c>
      <c r="B17" s="71"/>
      <c r="C17" s="71"/>
      <c r="D17" s="71"/>
      <c r="E17" s="71"/>
    </row>
    <row r="18" spans="1:5" ht="28.8" x14ac:dyDescent="0.3">
      <c r="A18" s="3" t="s">
        <v>191</v>
      </c>
      <c r="B18" s="156"/>
      <c r="C18" s="156"/>
      <c r="D18" s="130"/>
      <c r="E18" s="156"/>
    </row>
    <row r="19" spans="1:5" x14ac:dyDescent="0.3">
      <c r="A19" s="71" t="s">
        <v>93</v>
      </c>
      <c r="B19" s="71"/>
      <c r="C19" s="71"/>
      <c r="D19" s="71"/>
      <c r="E19" s="71"/>
    </row>
    <row r="20" spans="1:5" ht="28.8" x14ac:dyDescent="0.3">
      <c r="A20" s="3" t="s">
        <v>192</v>
      </c>
      <c r="B20" s="156"/>
      <c r="C20" s="156"/>
      <c r="D20" s="130"/>
      <c r="E20" s="156"/>
    </row>
    <row r="21" spans="1:5" x14ac:dyDescent="0.3">
      <c r="A21" s="3" t="s">
        <v>94</v>
      </c>
      <c r="B21" s="156"/>
      <c r="C21" s="156"/>
      <c r="D21" s="130"/>
      <c r="E21" s="156"/>
    </row>
    <row r="23" spans="1:5" x14ac:dyDescent="0.3">
      <c r="A23" s="67" t="s">
        <v>95</v>
      </c>
      <c r="B23" s="68">
        <f>SUM(B24:B27)</f>
        <v>0</v>
      </c>
    </row>
    <row r="24" spans="1:5" x14ac:dyDescent="0.3">
      <c r="A24" s="67" t="s">
        <v>96</v>
      </c>
      <c r="B24" s="68">
        <f>SUM(B6,B12)</f>
        <v>0</v>
      </c>
      <c r="C24" s="41" t="e">
        <f>B24/B23</f>
        <v>#DIV/0!</v>
      </c>
    </row>
    <row r="25" spans="1:5" x14ac:dyDescent="0.3">
      <c r="A25" s="67" t="s">
        <v>86</v>
      </c>
      <c r="B25" s="68">
        <f>SUM(B7,B13)</f>
        <v>0</v>
      </c>
      <c r="C25" s="41" t="e">
        <f>B25/B23</f>
        <v>#DIV/0!</v>
      </c>
    </row>
    <row r="26" spans="1:5" x14ac:dyDescent="0.3">
      <c r="A26" s="67" t="s">
        <v>87</v>
      </c>
      <c r="B26" s="68">
        <f>SUM(B8,B14)</f>
        <v>0</v>
      </c>
      <c r="C26" s="41" t="e">
        <f>B26/B23</f>
        <v>#DIV/0!</v>
      </c>
    </row>
    <row r="27" spans="1:5" x14ac:dyDescent="0.3">
      <c r="A27" s="67" t="s">
        <v>97</v>
      </c>
      <c r="B27" s="68">
        <f t="shared" ref="B27" si="0">SUM(B9,B15)</f>
        <v>0</v>
      </c>
      <c r="C27" s="41" t="e">
        <f>B27/B23</f>
        <v>#DIV/0!</v>
      </c>
    </row>
    <row r="28" spans="1:5" ht="15" thickBot="1" x14ac:dyDescent="0.35"/>
    <row r="29" spans="1:5" x14ac:dyDescent="0.3">
      <c r="A29" s="188" t="s">
        <v>98</v>
      </c>
      <c r="B29" s="189"/>
      <c r="C29" s="189"/>
      <c r="D29" s="189"/>
      <c r="E29" s="189"/>
    </row>
    <row r="30" spans="1:5" x14ac:dyDescent="0.3">
      <c r="A30" s="190"/>
      <c r="B30" s="191"/>
      <c r="C30" s="191"/>
      <c r="D30" s="191"/>
      <c r="E30" s="191"/>
    </row>
    <row r="31" spans="1:5" x14ac:dyDescent="0.3">
      <c r="A31" s="190"/>
      <c r="B31" s="191"/>
      <c r="C31" s="191"/>
      <c r="D31" s="191"/>
      <c r="E31" s="191"/>
    </row>
    <row r="32" spans="1:5" x14ac:dyDescent="0.3">
      <c r="A32" s="190"/>
      <c r="B32" s="191"/>
      <c r="C32" s="191"/>
      <c r="D32" s="191"/>
      <c r="E32" s="191"/>
    </row>
    <row r="33" spans="1:5" ht="15" thickBot="1" x14ac:dyDescent="0.35">
      <c r="A33" s="184" t="s">
        <v>99</v>
      </c>
      <c r="B33" s="185"/>
      <c r="C33" s="185"/>
      <c r="D33" s="185"/>
      <c r="E33" s="185"/>
    </row>
  </sheetData>
  <sheetProtection formatColumns="0" formatRows="0"/>
  <mergeCells count="6">
    <mergeCell ref="A33:E33"/>
    <mergeCell ref="A2:E2"/>
    <mergeCell ref="H3:Q3"/>
    <mergeCell ref="A29:E32"/>
    <mergeCell ref="B4:E4"/>
    <mergeCell ref="B5:E5"/>
  </mergeCells>
  <hyperlinks>
    <hyperlink ref="A33" r:id="rId1" xr:uid="{83245AC0-39DF-43EE-B206-DAC47CAE7836}"/>
  </hyperlinks>
  <pageMargins left="0.7" right="0.7" top="0.75" bottom="0.75" header="0.3" footer="0.3"/>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C1B039D-E44E-4D10-B6C0-3C9A7EDCB2F3}">
  <sheetPr codeName="Sheet5">
    <tabColor theme="7"/>
  </sheetPr>
  <dimension ref="A1:E28"/>
  <sheetViews>
    <sheetView showGridLines="0" zoomScale="120" zoomScaleNormal="120" workbookViewId="0">
      <pane ySplit="2" topLeftCell="A6" activePane="bottomLeft" state="frozen"/>
      <selection pane="bottomLeft" activeCell="E19" sqref="E19"/>
    </sheetView>
  </sheetViews>
  <sheetFormatPr defaultColWidth="8.88671875" defaultRowHeight="14.4" x14ac:dyDescent="0.3"/>
  <cols>
    <col min="1" max="1" width="45.33203125" style="99" customWidth="1"/>
    <col min="2" max="2" width="18.33203125" style="98" customWidth="1"/>
    <col min="3" max="3" width="53.33203125" style="99" customWidth="1"/>
    <col min="4" max="4" width="10.109375" style="99" bestFit="1" customWidth="1"/>
    <col min="5" max="5" width="41" style="99" customWidth="1"/>
    <col min="6" max="16384" width="8.88671875" style="99"/>
  </cols>
  <sheetData>
    <row r="1" spans="1:5" ht="18" x14ac:dyDescent="0.35">
      <c r="A1" s="97" t="s">
        <v>100</v>
      </c>
      <c r="D1" s="52"/>
      <c r="E1" s="53" t="s">
        <v>20</v>
      </c>
    </row>
    <row r="2" spans="1:5" ht="28.8" x14ac:dyDescent="0.3">
      <c r="A2" s="54" t="s">
        <v>101</v>
      </c>
      <c r="B2" s="56" t="s">
        <v>39</v>
      </c>
      <c r="C2" s="100" t="s">
        <v>40</v>
      </c>
      <c r="D2" s="101"/>
      <c r="E2" s="53" t="s">
        <v>22</v>
      </c>
    </row>
    <row r="3" spans="1:5" x14ac:dyDescent="0.3">
      <c r="A3" s="102" t="s">
        <v>102</v>
      </c>
      <c r="B3" s="102"/>
      <c r="C3" s="102"/>
      <c r="D3" s="51"/>
      <c r="E3" s="53"/>
    </row>
    <row r="4" spans="1:5" x14ac:dyDescent="0.3">
      <c r="A4" s="103" t="s">
        <v>103</v>
      </c>
      <c r="B4" s="57">
        <f>SUM(B5:B6)</f>
        <v>0</v>
      </c>
      <c r="C4" s="104"/>
    </row>
    <row r="5" spans="1:5" x14ac:dyDescent="0.3">
      <c r="A5" s="103" t="s">
        <v>104</v>
      </c>
      <c r="B5" s="57">
        <f>SUMPRODUCT('3. Proposed Rents'!D12:D15,'3. Proposed Rents'!B12:B15)*12</f>
        <v>0</v>
      </c>
      <c r="C5" s="105"/>
    </row>
    <row r="6" spans="1:5" x14ac:dyDescent="0.3">
      <c r="A6" s="103" t="s">
        <v>105</v>
      </c>
      <c r="B6" s="57">
        <f>SUMPRODUCT('3. Proposed Rents'!B6:B9,'3. Proposed Rents'!D6:D9)*12</f>
        <v>0</v>
      </c>
      <c r="C6" s="106"/>
    </row>
    <row r="7" spans="1:5" x14ac:dyDescent="0.3">
      <c r="A7" s="103" t="s">
        <v>106</v>
      </c>
      <c r="B7" s="57">
        <f>'3. Proposed Rents'!D20*12</f>
        <v>0</v>
      </c>
      <c r="C7" s="106"/>
    </row>
    <row r="8" spans="1:5" x14ac:dyDescent="0.3">
      <c r="A8" s="103" t="s">
        <v>107</v>
      </c>
      <c r="B8" s="57">
        <f>'3. Proposed Rents'!D18*12</f>
        <v>0</v>
      </c>
      <c r="C8" s="106"/>
    </row>
    <row r="9" spans="1:5" x14ac:dyDescent="0.3">
      <c r="A9" s="103" t="s">
        <v>108</v>
      </c>
      <c r="B9" s="57">
        <f>'3. Proposed Rents'!D21*12</f>
        <v>0</v>
      </c>
      <c r="C9" s="106"/>
    </row>
    <row r="10" spans="1:5" x14ac:dyDescent="0.3">
      <c r="A10" s="107" t="s">
        <v>109</v>
      </c>
      <c r="B10" s="57">
        <f>SUM((B4+B7+B8+B9))</f>
        <v>0</v>
      </c>
      <c r="C10" s="106"/>
    </row>
    <row r="11" spans="1:5" x14ac:dyDescent="0.3">
      <c r="A11" s="103" t="s">
        <v>110</v>
      </c>
      <c r="B11" s="83"/>
      <c r="C11" s="59"/>
    </row>
    <row r="12" spans="1:5" x14ac:dyDescent="0.3">
      <c r="A12" s="103" t="s">
        <v>111</v>
      </c>
      <c r="B12" s="83"/>
      <c r="C12" s="59"/>
    </row>
    <row r="13" spans="1:5" x14ac:dyDescent="0.3">
      <c r="A13" s="107" t="s">
        <v>112</v>
      </c>
      <c r="B13" s="57">
        <f>B10*(1-B11-B12)</f>
        <v>0</v>
      </c>
      <c r="C13" s="106"/>
    </row>
    <row r="14" spans="1:5" x14ac:dyDescent="0.3">
      <c r="A14" s="108" t="s">
        <v>113</v>
      </c>
      <c r="B14" s="109"/>
      <c r="C14" s="102"/>
    </row>
    <row r="15" spans="1:5" x14ac:dyDescent="0.3">
      <c r="A15" s="107" t="s">
        <v>114</v>
      </c>
      <c r="B15" s="58"/>
      <c r="C15" s="137"/>
      <c r="D15" s="110"/>
    </row>
    <row r="16" spans="1:5" x14ac:dyDescent="0.3">
      <c r="A16" s="107" t="s">
        <v>115</v>
      </c>
      <c r="B16" s="60" t="e">
        <f>B15/B13</f>
        <v>#DIV/0!</v>
      </c>
      <c r="C16" s="111"/>
    </row>
    <row r="17" spans="1:3" x14ac:dyDescent="0.3">
      <c r="A17" s="108" t="s">
        <v>116</v>
      </c>
      <c r="B17" s="109"/>
      <c r="C17" s="102"/>
    </row>
    <row r="18" spans="1:3" ht="28.8" x14ac:dyDescent="0.3">
      <c r="A18" s="103" t="s">
        <v>117</v>
      </c>
      <c r="B18" s="57">
        <f>B13-B15</f>
        <v>0</v>
      </c>
      <c r="C18" s="106"/>
    </row>
    <row r="19" spans="1:3" x14ac:dyDescent="0.3">
      <c r="A19" s="103" t="s">
        <v>118</v>
      </c>
      <c r="B19" s="138"/>
      <c r="C19" s="59"/>
    </row>
    <row r="20" spans="1:3" x14ac:dyDescent="0.3">
      <c r="A20" s="103" t="s">
        <v>119</v>
      </c>
      <c r="B20" s="139"/>
      <c r="C20" s="59"/>
    </row>
    <row r="21" spans="1:3" ht="28.8" x14ac:dyDescent="0.3">
      <c r="A21" s="151" t="s">
        <v>193</v>
      </c>
      <c r="B21" s="58"/>
      <c r="C21" s="59"/>
    </row>
    <row r="22" spans="1:3" x14ac:dyDescent="0.3">
      <c r="A22" s="103" t="s">
        <v>120</v>
      </c>
      <c r="B22" s="63"/>
      <c r="C22" s="59"/>
    </row>
    <row r="23" spans="1:3" x14ac:dyDescent="0.3">
      <c r="A23" s="103" t="s">
        <v>121</v>
      </c>
      <c r="B23" s="112" t="e">
        <f>B18/B22</f>
        <v>#DIV/0!</v>
      </c>
      <c r="C23" s="106"/>
    </row>
    <row r="24" spans="1:3" x14ac:dyDescent="0.3">
      <c r="A24" s="103" t="s">
        <v>122</v>
      </c>
      <c r="B24" s="61" t="e">
        <f>B18/B21</f>
        <v>#DIV/0!</v>
      </c>
      <c r="C24" s="111"/>
    </row>
    <row r="28" spans="1:3" x14ac:dyDescent="0.3">
      <c r="C28" s="136"/>
    </row>
  </sheetData>
  <sheetProtection formatColumns="0" formatRows="0"/>
  <pageMargins left="0.7" right="0.7" top="0.75" bottom="0.75" header="0.3" footer="0.3"/>
  <pageSetup orientation="portrait" r:id="rId1"/>
</worksheet>
</file>

<file path=xl/worksheets/sheet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AF097F4-C9CF-475A-A450-F8EC40F39C84}">
  <sheetPr codeName="Sheet4"/>
  <dimension ref="A1:L47"/>
  <sheetViews>
    <sheetView workbookViewId="0">
      <selection activeCell="G38" sqref="G38"/>
    </sheetView>
  </sheetViews>
  <sheetFormatPr defaultRowHeight="14.4" x14ac:dyDescent="0.3"/>
  <cols>
    <col min="1" max="1" width="21.33203125" bestFit="1" customWidth="1"/>
    <col min="2" max="2" width="15.88671875" style="5" bestFit="1" customWidth="1"/>
    <col min="3" max="5" width="15.88671875" bestFit="1" customWidth="1"/>
    <col min="7" max="7" width="34" customWidth="1"/>
    <col min="8" max="8" width="13.88671875" bestFit="1" customWidth="1"/>
    <col min="9" max="9" width="14.88671875" bestFit="1" customWidth="1"/>
    <col min="11" max="12" width="15.88671875" bestFit="1" customWidth="1"/>
  </cols>
  <sheetData>
    <row r="1" spans="1:12" x14ac:dyDescent="0.3">
      <c r="A1" s="24"/>
      <c r="B1" s="25" t="s">
        <v>123</v>
      </c>
      <c r="C1" s="26"/>
      <c r="D1" s="26" t="s">
        <v>124</v>
      </c>
      <c r="E1" s="27" t="s">
        <v>125</v>
      </c>
      <c r="G1" s="196" t="s">
        <v>126</v>
      </c>
      <c r="H1" s="197"/>
      <c r="I1" s="198"/>
    </row>
    <row r="2" spans="1:12" x14ac:dyDescent="0.3">
      <c r="A2" s="7"/>
      <c r="B2" s="8"/>
      <c r="E2" s="9"/>
      <c r="G2" s="7"/>
      <c r="I2" s="9"/>
    </row>
    <row r="3" spans="1:12" x14ac:dyDescent="0.3">
      <c r="A3" s="7" t="s">
        <v>66</v>
      </c>
      <c r="B3" s="8" t="e">
        <f>#REF!</f>
        <v>#REF!</v>
      </c>
      <c r="E3" s="9"/>
      <c r="G3" s="7" t="s">
        <v>127</v>
      </c>
      <c r="H3" t="e">
        <f>#REF!</f>
        <v>#REF!</v>
      </c>
      <c r="I3" s="9"/>
    </row>
    <row r="4" spans="1:12" x14ac:dyDescent="0.3">
      <c r="A4" s="7" t="s">
        <v>67</v>
      </c>
      <c r="B4" s="8" t="e">
        <f>#REF!</f>
        <v>#REF!</v>
      </c>
      <c r="E4" s="9"/>
      <c r="G4" s="7"/>
      <c r="I4" s="9"/>
    </row>
    <row r="5" spans="1:12" x14ac:dyDescent="0.3">
      <c r="A5" s="7"/>
      <c r="B5" s="8"/>
      <c r="E5" s="9"/>
      <c r="G5" s="7" t="s">
        <v>128</v>
      </c>
      <c r="H5" s="28" t="e">
        <f>SUMPRODUCT(#REF!,#REF!)/SUM(#REF!)</f>
        <v>#REF!</v>
      </c>
      <c r="I5" s="9"/>
    </row>
    <row r="6" spans="1:12" x14ac:dyDescent="0.3">
      <c r="A6" s="7" t="s">
        <v>129</v>
      </c>
      <c r="B6" s="8" t="e">
        <f>SUM(SUMPRODUCT(#REF!,#REF!))*12</f>
        <v>#REF!</v>
      </c>
      <c r="D6" s="8"/>
      <c r="E6" s="20"/>
      <c r="G6" s="199" t="s">
        <v>130</v>
      </c>
      <c r="H6" s="200" t="e">
        <f>SUMPRODUCT(#REF!,#REF!)/SUM(#REF!)</f>
        <v>#REF!</v>
      </c>
      <c r="I6" s="9"/>
    </row>
    <row r="7" spans="1:12" x14ac:dyDescent="0.3">
      <c r="A7" s="47" t="s">
        <v>131</v>
      </c>
      <c r="B7" s="8" t="e">
        <f>B6*#REF!</f>
        <v>#REF!</v>
      </c>
      <c r="D7" s="8"/>
      <c r="E7" s="20"/>
      <c r="G7" s="199"/>
      <c r="H7" s="200"/>
      <c r="I7" s="9"/>
    </row>
    <row r="8" spans="1:12" x14ac:dyDescent="0.3">
      <c r="A8" s="7" t="s">
        <v>132</v>
      </c>
      <c r="B8" s="8" t="e">
        <f>B6-B7</f>
        <v>#REF!</v>
      </c>
      <c r="D8" s="8"/>
      <c r="E8" s="20"/>
      <c r="G8" s="7"/>
      <c r="I8" s="9"/>
    </row>
    <row r="9" spans="1:12" ht="15" thickBot="1" x14ac:dyDescent="0.35">
      <c r="A9" s="10" t="s">
        <v>133</v>
      </c>
      <c r="B9" s="6" t="e" cm="1">
        <f t="array" ref="B9">SUM(SUM('1. Application Info'!B27,'1. Application Info'!B32,'1. Application Info'!#REF!)*#REF!*12,(#REF!)*12)</f>
        <v>#REF!</v>
      </c>
      <c r="D9" s="8"/>
      <c r="E9" s="9"/>
      <c r="G9" s="7" t="s">
        <v>134</v>
      </c>
      <c r="H9">
        <v>26</v>
      </c>
      <c r="I9" s="9"/>
    </row>
    <row r="10" spans="1:12" ht="15" thickTop="1" x14ac:dyDescent="0.3">
      <c r="A10" s="7" t="s">
        <v>112</v>
      </c>
      <c r="B10" s="8" t="e">
        <f>B8+B9</f>
        <v>#REF!</v>
      </c>
      <c r="D10" s="8"/>
      <c r="E10" s="20"/>
      <c r="G10" s="7"/>
      <c r="I10" s="9"/>
    </row>
    <row r="11" spans="1:12" x14ac:dyDescent="0.3">
      <c r="A11" s="7"/>
      <c r="B11" s="8"/>
      <c r="D11" s="8"/>
      <c r="E11" s="9"/>
      <c r="G11" s="7"/>
      <c r="H11" s="29" t="s">
        <v>135</v>
      </c>
      <c r="I11" s="30" t="s">
        <v>136</v>
      </c>
    </row>
    <row r="12" spans="1:12" x14ac:dyDescent="0.3">
      <c r="A12" s="7" t="s">
        <v>137</v>
      </c>
      <c r="B12" s="8" t="e">
        <f>B10*#REF!</f>
        <v>#REF!</v>
      </c>
      <c r="D12" s="8"/>
      <c r="E12" s="20"/>
      <c r="G12" s="7"/>
      <c r="I12" s="9"/>
    </row>
    <row r="13" spans="1:12" ht="15" thickBot="1" x14ac:dyDescent="0.35">
      <c r="A13" s="10"/>
      <c r="B13" s="6"/>
      <c r="D13" s="43">
        <f>D10-D12</f>
        <v>0</v>
      </c>
      <c r="E13" s="44">
        <f>E10-E12</f>
        <v>0</v>
      </c>
      <c r="G13" s="7" t="s">
        <v>138</v>
      </c>
      <c r="H13" s="11">
        <f>D26</f>
        <v>0</v>
      </c>
      <c r="I13" s="12">
        <f>IF('1. Application Info'!B34="No",$E$26,0)</f>
        <v>0</v>
      </c>
      <c r="K13" s="11">
        <f>-PV(3.25%/12,NOIBased!B20,655030,,0)</f>
        <v>150510222.69073761</v>
      </c>
      <c r="L13" s="31">
        <f>K14*0.75</f>
        <v>294683549.25</v>
      </c>
    </row>
    <row r="14" spans="1:12" ht="15" thickTop="1" x14ac:dyDescent="0.3">
      <c r="A14" s="7" t="s">
        <v>139</v>
      </c>
      <c r="B14" s="8" t="e">
        <f>B10-B12</f>
        <v>#REF!</v>
      </c>
      <c r="D14" s="8">
        <f>IF('1. Application Info'!B34="Yes",D17*D16,0)</f>
        <v>0</v>
      </c>
      <c r="E14" s="12">
        <f>IF('1. Application Info'!B34="No",E17*E16,0)</f>
        <v>0</v>
      </c>
      <c r="G14" s="7"/>
      <c r="I14" s="9"/>
      <c r="K14" s="5">
        <v>392911399</v>
      </c>
    </row>
    <row r="15" spans="1:12" x14ac:dyDescent="0.3">
      <c r="A15" s="7"/>
      <c r="B15" s="8"/>
      <c r="E15" s="9"/>
      <c r="G15" s="7" t="s">
        <v>140</v>
      </c>
      <c r="H15" s="31">
        <f>IF('1. Application Info'!$B$34="Yes",($H$6-$H$5)*$H$3*12,0)</f>
        <v>0</v>
      </c>
      <c r="I15" s="32">
        <f>IF('1. Application Info'!B34="No",($H$6-$H$5)*$H$3*12,0)</f>
        <v>0</v>
      </c>
    </row>
    <row r="16" spans="1:12" x14ac:dyDescent="0.3">
      <c r="A16" s="7" t="s">
        <v>141</v>
      </c>
      <c r="B16" s="13" t="e">
        <f>B14/B17</f>
        <v>#REF!</v>
      </c>
      <c r="D16" s="14">
        <f>IF('1. Application Info'!B34="Yes",#REF!,0)</f>
        <v>0</v>
      </c>
      <c r="E16" s="15">
        <f>IF('1. Application Info'!B34="No",#REF!,0)</f>
        <v>0</v>
      </c>
      <c r="G16" s="7"/>
      <c r="I16" s="9"/>
      <c r="K16" s="41">
        <f>K13/K14</f>
        <v>0.38306402683607965</v>
      </c>
    </row>
    <row r="17" spans="1:11" x14ac:dyDescent="0.3">
      <c r="A17" s="7" t="s">
        <v>142</v>
      </c>
      <c r="B17" s="16" t="e">
        <f>B19*12</f>
        <v>#REF!</v>
      </c>
      <c r="D17" s="11">
        <f>IF('1. Application Info'!B34="Yes",B17,0)</f>
        <v>0</v>
      </c>
      <c r="E17" s="12">
        <f>IF('1. Application Info'!B34="No",B17,0)</f>
        <v>0</v>
      </c>
      <c r="G17" s="7" t="s">
        <v>143</v>
      </c>
      <c r="H17" s="11" t="e">
        <f>PV(#REF!,NOIBased!$H$9,-NOIBased!$H$15,,)</f>
        <v>#REF!</v>
      </c>
      <c r="I17" s="12" t="e">
        <f>PV(#REF!,NOIBased!$H$9,-NOIBased!$I$15,,)</f>
        <v>#REF!</v>
      </c>
    </row>
    <row r="18" spans="1:11" x14ac:dyDescent="0.3">
      <c r="A18" s="7" t="s">
        <v>144</v>
      </c>
      <c r="B18" s="17" t="e">
        <f>IF('1. Application Info'!B34="yes",#REF!,#REF!)</f>
        <v>#REF!</v>
      </c>
      <c r="E18" s="9"/>
      <c r="G18" s="7"/>
      <c r="I18" s="9"/>
    </row>
    <row r="19" spans="1:11" x14ac:dyDescent="0.3">
      <c r="A19" s="7" t="s">
        <v>145</v>
      </c>
      <c r="B19" s="16" t="e">
        <f>-PMT(B18/12,B20,B4,,1)</f>
        <v>#REF!</v>
      </c>
      <c r="E19" s="9"/>
      <c r="G19" s="7" t="s">
        <v>146</v>
      </c>
      <c r="H19" s="11" t="e">
        <f>H17-H13</f>
        <v>#REF!</v>
      </c>
      <c r="I19" s="12" t="e">
        <f>I17-I13</f>
        <v>#REF!</v>
      </c>
    </row>
    <row r="20" spans="1:11" x14ac:dyDescent="0.3">
      <c r="A20" s="7" t="s">
        <v>147</v>
      </c>
      <c r="B20" s="18">
        <f>IF('1. Application Info'!B34="Yes",480,360)</f>
        <v>360</v>
      </c>
      <c r="E20" s="9"/>
      <c r="G20" s="7"/>
      <c r="I20" s="9"/>
    </row>
    <row r="21" spans="1:11" x14ac:dyDescent="0.3">
      <c r="A21" s="7"/>
      <c r="B21" s="8"/>
      <c r="E21" s="9"/>
      <c r="G21" s="23" t="s">
        <v>148</v>
      </c>
      <c r="H21" s="33">
        <f>IF('1. Application Info'!B34="Yes",H19/H13,0)</f>
        <v>0</v>
      </c>
      <c r="I21" s="34">
        <f>IF('1. Application Info'!B34="No",I19/I13,0)</f>
        <v>0</v>
      </c>
    </row>
    <row r="22" spans="1:11" x14ac:dyDescent="0.3">
      <c r="A22" s="7" t="s">
        <v>149</v>
      </c>
      <c r="B22" s="19">
        <v>0.03</v>
      </c>
      <c r="E22" s="9"/>
    </row>
    <row r="23" spans="1:11" x14ac:dyDescent="0.3">
      <c r="A23" s="7" t="s">
        <v>121</v>
      </c>
      <c r="B23" s="8" t="e">
        <f>B14/$B$22</f>
        <v>#REF!</v>
      </c>
      <c r="D23" s="8">
        <f>D14/$B$22</f>
        <v>0</v>
      </c>
      <c r="E23" s="20">
        <f>IF('1. Application Info'!B34="No",E14/$B$22,0)</f>
        <v>0</v>
      </c>
    </row>
    <row r="24" spans="1:11" x14ac:dyDescent="0.3">
      <c r="A24" s="7" t="s">
        <v>150</v>
      </c>
      <c r="B24" s="21" t="e">
        <f>$B$4/B23</f>
        <v>#REF!</v>
      </c>
      <c r="D24" s="21">
        <f>IF('1. Application Info'!B34="Yes",$B$4/D23,0)</f>
        <v>0</v>
      </c>
      <c r="E24" s="22">
        <f>IF('1. Application Info'!B34="No",$B$4/E23,0)</f>
        <v>0</v>
      </c>
    </row>
    <row r="25" spans="1:11" x14ac:dyDescent="0.3">
      <c r="A25" s="7"/>
      <c r="B25" s="8"/>
      <c r="E25" s="9"/>
    </row>
    <row r="26" spans="1:11" x14ac:dyDescent="0.3">
      <c r="A26" s="35" t="s">
        <v>151</v>
      </c>
      <c r="B26" s="36"/>
      <c r="C26" s="37"/>
      <c r="D26" s="38">
        <f>IF('1. Application Info'!B34="Yes",D14-$B$14,0)</f>
        <v>0</v>
      </c>
      <c r="E26" s="39">
        <f>IF('1. Application Info'!B34="No",E14-$B$14,0)</f>
        <v>0</v>
      </c>
      <c r="H26" t="s">
        <v>152</v>
      </c>
      <c r="I26" t="s">
        <v>153</v>
      </c>
    </row>
    <row r="28" spans="1:11" x14ac:dyDescent="0.3">
      <c r="B28" s="5" t="s">
        <v>154</v>
      </c>
      <c r="C28" t="s">
        <v>155</v>
      </c>
      <c r="H28" s="31">
        <f>D13</f>
        <v>0</v>
      </c>
      <c r="I28" s="31">
        <f>E13</f>
        <v>0</v>
      </c>
    </row>
    <row r="29" spans="1:11" x14ac:dyDescent="0.3">
      <c r="A29" t="s">
        <v>129</v>
      </c>
      <c r="B29" s="5" t="e">
        <f>SUM(SUMPRODUCT(#REF!,#REF!),SUMPRODUCT(#REF!,#REF!))*12</f>
        <v>#REF!</v>
      </c>
      <c r="C29" s="5" t="e">
        <f>SUM(SUMPRODUCT(#REF!,#REF!),SUMPRODUCT(#REF!,#REF!))*12</f>
        <v>#REF!</v>
      </c>
      <c r="E29" s="31">
        <f>E13-D13</f>
        <v>0</v>
      </c>
      <c r="G29" s="42">
        <v>12128.2</v>
      </c>
      <c r="H29" s="5">
        <f>G29*50</f>
        <v>606410</v>
      </c>
      <c r="I29" s="5">
        <v>606410</v>
      </c>
    </row>
    <row r="30" spans="1:11" x14ac:dyDescent="0.3">
      <c r="A30" t="s">
        <v>131</v>
      </c>
      <c r="B30" s="8" t="e">
        <f>B29*#REF!</f>
        <v>#REF!</v>
      </c>
      <c r="C30" s="8" t="e">
        <f>C29*#REF!</f>
        <v>#REF!</v>
      </c>
      <c r="E30" s="31">
        <f>E29/50</f>
        <v>0</v>
      </c>
      <c r="K30" s="40"/>
    </row>
    <row r="31" spans="1:11" x14ac:dyDescent="0.3">
      <c r="A31" t="s">
        <v>156</v>
      </c>
      <c r="B31" s="5" t="e">
        <f>B29-B30</f>
        <v>#REF!</v>
      </c>
      <c r="C31" s="5" t="e">
        <f>C29-C30</f>
        <v>#REF!</v>
      </c>
      <c r="H31" s="31">
        <f>H28-H29</f>
        <v>-606410</v>
      </c>
      <c r="I31" s="31">
        <f>I28-I29</f>
        <v>-606410</v>
      </c>
    </row>
    <row r="32" spans="1:11" ht="15" thickBot="1" x14ac:dyDescent="0.35">
      <c r="A32" t="s">
        <v>133</v>
      </c>
      <c r="B32" s="6">
        <v>742800</v>
      </c>
      <c r="C32" s="6">
        <v>742800</v>
      </c>
      <c r="E32" s="11">
        <f>-PV(6%,26,E29,,0)</f>
        <v>0</v>
      </c>
    </row>
    <row r="33" spans="1:9" ht="15" thickTop="1" x14ac:dyDescent="0.3">
      <c r="A33" t="s">
        <v>112</v>
      </c>
      <c r="B33" s="5" t="e">
        <f>B31+B32</f>
        <v>#REF!</v>
      </c>
      <c r="C33" s="5" t="e">
        <f>C31+C32</f>
        <v>#REF!</v>
      </c>
      <c r="E33" s="11">
        <f>E32/50</f>
        <v>0</v>
      </c>
      <c r="I33" s="31">
        <f>I31-H31</f>
        <v>0</v>
      </c>
    </row>
    <row r="35" spans="1:9" x14ac:dyDescent="0.3">
      <c r="A35" t="s">
        <v>157</v>
      </c>
      <c r="B35" s="5" t="e">
        <f>B33*0.4</f>
        <v>#REF!</v>
      </c>
      <c r="C35" s="5" t="e">
        <f>C33*0.4</f>
        <v>#REF!</v>
      </c>
    </row>
    <row r="37" spans="1:9" x14ac:dyDescent="0.3">
      <c r="A37" t="s">
        <v>139</v>
      </c>
      <c r="B37" s="5" t="e">
        <f>B33-B35</f>
        <v>#REF!</v>
      </c>
      <c r="C37" s="5" t="e">
        <f>C33-C35</f>
        <v>#REF!</v>
      </c>
    </row>
    <row r="39" spans="1:9" x14ac:dyDescent="0.3">
      <c r="A39" t="s">
        <v>121</v>
      </c>
      <c r="B39" s="5" t="e">
        <f>B37/$B$22</f>
        <v>#REF!</v>
      </c>
      <c r="C39" s="5" t="e">
        <f>C37/$B$22</f>
        <v>#REF!</v>
      </c>
    </row>
    <row r="41" spans="1:9" x14ac:dyDescent="0.3">
      <c r="A41" t="s">
        <v>158</v>
      </c>
      <c r="B41" s="5" t="e">
        <f>B39*0.75</f>
        <v>#REF!</v>
      </c>
      <c r="C41" s="5" t="e">
        <f>C39*0.75</f>
        <v>#REF!</v>
      </c>
      <c r="F41">
        <f>20000*658</f>
        <v>13160000</v>
      </c>
    </row>
    <row r="43" spans="1:9" x14ac:dyDescent="0.3">
      <c r="A43" t="s">
        <v>159</v>
      </c>
      <c r="B43" s="5" t="e">
        <f>SUM($B$3:$B$4)-$F$41</f>
        <v>#REF!</v>
      </c>
      <c r="C43" s="5" t="e">
        <f>SUM($B$3:$B$4)-$F$41</f>
        <v>#REF!</v>
      </c>
    </row>
    <row r="45" spans="1:9" x14ac:dyDescent="0.3">
      <c r="A45" t="s">
        <v>66</v>
      </c>
      <c r="B45" s="5" t="e">
        <f>B43-B41</f>
        <v>#REF!</v>
      </c>
      <c r="C45" s="5" t="e">
        <f>C43-C41</f>
        <v>#REF!</v>
      </c>
      <c r="D45" s="31" t="e">
        <f>C45-B45</f>
        <v>#REF!</v>
      </c>
    </row>
    <row r="47" spans="1:9" x14ac:dyDescent="0.3">
      <c r="D47" s="31" t="e">
        <f>D45/50</f>
        <v>#REF!</v>
      </c>
    </row>
  </sheetData>
  <mergeCells count="3">
    <mergeCell ref="G1:I1"/>
    <mergeCell ref="G6:G7"/>
    <mergeCell ref="H6:H7"/>
  </mergeCells>
  <pageMargins left="0.7" right="0.7" top="0.75" bottom="0.75" header="0.3" footer="0.3"/>
  <pageSetup orientation="portrait" r:id="rId1"/>
  <legacyDrawing r:id="rId2"/>
  <extLst>
    <ext xmlns:x14="http://schemas.microsoft.com/office/spreadsheetml/2009/9/main" uri="{78C0D931-6437-407d-A8EE-F0AAD7539E65}">
      <x14:conditionalFormattings>
        <x14:conditionalFormatting xmlns:xm="http://schemas.microsoft.com/office/excel/2006/main">
          <x14:cfRule type="expression" priority="3" id="{B10DC980-217D-4C23-8B4F-E930B3C03127}">
            <xm:f>IF('1. Application Info'!$B$34="Yes",$D$26)</xm:f>
            <x14:dxf>
              <fill>
                <patternFill>
                  <bgColor theme="5" tint="0.59996337778862885"/>
                </patternFill>
              </fill>
            </x14:dxf>
          </x14:cfRule>
          <xm:sqref>D26</xm:sqref>
        </x14:conditionalFormatting>
        <x14:conditionalFormatting xmlns:xm="http://schemas.microsoft.com/office/excel/2006/main">
          <x14:cfRule type="expression" priority="6" id="{32E24DCC-5D06-424E-A9A2-F07BF8947F40}">
            <xm:f>IF('1. Application Info'!$B$34="No",$E$26)</xm:f>
            <x14:dxf>
              <fill>
                <patternFill>
                  <bgColor theme="5" tint="0.59996337778862885"/>
                </patternFill>
              </fill>
            </x14:dxf>
          </x14:cfRule>
          <xm:sqref>E26</xm:sqref>
        </x14:conditionalFormatting>
        <x14:conditionalFormatting xmlns:xm="http://schemas.microsoft.com/office/excel/2006/main">
          <x14:cfRule type="expression" priority="7" id="{CFAC4436-8017-4B95-9B99-6FC869DED1C0}">
            <xm:f>IF('1. Application Info'!$B$34="Yes",$H$12)</xm:f>
            <x14:dxf>
              <fill>
                <patternFill>
                  <bgColor theme="5" tint="0.59996337778862885"/>
                </patternFill>
              </fill>
            </x14:dxf>
          </x14:cfRule>
          <xm:sqref>H12</xm:sqref>
        </x14:conditionalFormatting>
        <x14:conditionalFormatting xmlns:xm="http://schemas.microsoft.com/office/excel/2006/main">
          <x14:cfRule type="expression" priority="2" id="{3753F997-82B3-4F59-B1DA-C0DE928650F2}">
            <xm:f>IF('1. Application Info'!$B$34="Yes",$H$13)</xm:f>
            <x14:dxf>
              <fill>
                <patternFill>
                  <bgColor theme="5" tint="0.59996337778862885"/>
                </patternFill>
              </fill>
            </x14:dxf>
          </x14:cfRule>
          <xm:sqref>H13</xm:sqref>
        </x14:conditionalFormatting>
        <x14:conditionalFormatting xmlns:xm="http://schemas.microsoft.com/office/excel/2006/main">
          <x14:cfRule type="expression" priority="1" id="{EA9AF503-015C-4427-8B01-598FCA57B716}">
            <xm:f>IF('1. Application Info'!$B$34="No",$I$13)</xm:f>
            <x14:dxf>
              <fill>
                <patternFill>
                  <bgColor theme="5" tint="0.59996337778862885"/>
                </patternFill>
              </fill>
            </x14:dxf>
          </x14:cfRule>
          <xm:sqref>I13</xm:sqref>
        </x14:conditionalFormatting>
      </x14:conditionalFormattings>
    </ext>
  </extLst>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30FAA67-91C9-4B7C-986D-769BD2D748A6}">
  <sheetPr codeName="Sheet6"/>
  <dimension ref="A2:R77"/>
  <sheetViews>
    <sheetView topLeftCell="A4" workbookViewId="0">
      <selection activeCell="D26" sqref="D26"/>
    </sheetView>
  </sheetViews>
  <sheetFormatPr defaultRowHeight="14.4" x14ac:dyDescent="0.3"/>
  <cols>
    <col min="1" max="1" width="21.33203125" bestFit="1" customWidth="1"/>
    <col min="2" max="2" width="19.44140625" bestFit="1" customWidth="1"/>
    <col min="3" max="3" width="18.44140625" bestFit="1" customWidth="1"/>
    <col min="4" max="4" width="15.88671875" bestFit="1" customWidth="1"/>
    <col min="6" max="6" width="32.6640625" customWidth="1"/>
    <col min="8" max="8" width="10.33203125" bestFit="1" customWidth="1"/>
    <col min="11" max="11" width="21.33203125" bestFit="1" customWidth="1"/>
    <col min="12" max="12" width="19.44140625" bestFit="1" customWidth="1"/>
    <col min="13" max="13" width="18.44140625" bestFit="1" customWidth="1"/>
    <col min="14" max="14" width="15.88671875" bestFit="1" customWidth="1"/>
    <col min="16" max="16" width="32.6640625" customWidth="1"/>
    <col min="18" max="18" width="10.33203125" bestFit="1" customWidth="1"/>
  </cols>
  <sheetData>
    <row r="2" spans="1:18" x14ac:dyDescent="0.3">
      <c r="A2" t="s">
        <v>149</v>
      </c>
      <c r="B2" s="48">
        <v>3.2500000000000001E-2</v>
      </c>
    </row>
    <row r="3" spans="1:18" x14ac:dyDescent="0.3">
      <c r="A3" t="s">
        <v>150</v>
      </c>
      <c r="B3" s="41">
        <v>0.75</v>
      </c>
    </row>
    <row r="5" spans="1:18" x14ac:dyDescent="0.3">
      <c r="A5" s="49" t="s">
        <v>160</v>
      </c>
      <c r="K5" s="49" t="s">
        <v>161</v>
      </c>
    </row>
    <row r="7" spans="1:18" x14ac:dyDescent="0.3">
      <c r="A7" s="24"/>
      <c r="B7" s="26" t="s">
        <v>162</v>
      </c>
      <c r="C7" s="26" t="s">
        <v>163</v>
      </c>
      <c r="D7" s="27"/>
      <c r="F7" s="196" t="s">
        <v>126</v>
      </c>
      <c r="G7" s="197"/>
      <c r="H7" s="198"/>
      <c r="K7" s="24"/>
      <c r="L7" s="26" t="s">
        <v>162</v>
      </c>
      <c r="M7" s="26" t="s">
        <v>163</v>
      </c>
      <c r="N7" s="27"/>
      <c r="P7" s="196" t="s">
        <v>126</v>
      </c>
      <c r="Q7" s="197"/>
      <c r="R7" s="198"/>
    </row>
    <row r="8" spans="1:18" x14ac:dyDescent="0.3">
      <c r="A8" s="7"/>
      <c r="D8" s="9"/>
      <c r="F8" s="7"/>
      <c r="G8" s="201"/>
      <c r="H8" s="202"/>
      <c r="K8" s="7"/>
      <c r="N8" s="9"/>
      <c r="P8" s="7"/>
      <c r="Q8" s="201"/>
      <c r="R8" s="202"/>
    </row>
    <row r="9" spans="1:18" x14ac:dyDescent="0.3">
      <c r="A9" s="7" t="s">
        <v>129</v>
      </c>
      <c r="B9" s="8">
        <v>16092982.080000002</v>
      </c>
      <c r="C9" s="8">
        <v>15819477.600000001</v>
      </c>
      <c r="D9" s="20"/>
      <c r="F9" s="7" t="s">
        <v>127</v>
      </c>
      <c r="G9" s="203">
        <v>50</v>
      </c>
      <c r="H9" s="204"/>
      <c r="K9" s="7" t="s">
        <v>129</v>
      </c>
      <c r="L9" s="8">
        <v>2332116</v>
      </c>
      <c r="M9" s="8">
        <v>2237220</v>
      </c>
      <c r="N9" s="20"/>
      <c r="P9" s="7" t="s">
        <v>127</v>
      </c>
      <c r="Q9" s="203">
        <v>12</v>
      </c>
      <c r="R9" s="204"/>
    </row>
    <row r="10" spans="1:18" x14ac:dyDescent="0.3">
      <c r="A10" s="7" t="s">
        <v>133</v>
      </c>
      <c r="B10" s="8">
        <v>742800</v>
      </c>
      <c r="C10" s="8">
        <v>742800</v>
      </c>
      <c r="D10" s="20"/>
      <c r="F10" s="7"/>
      <c r="G10" s="201"/>
      <c r="H10" s="202"/>
      <c r="K10" s="7" t="s">
        <v>133</v>
      </c>
      <c r="L10" s="8">
        <v>98400</v>
      </c>
      <c r="M10" s="8">
        <v>98400</v>
      </c>
      <c r="N10" s="20"/>
      <c r="P10" s="7"/>
      <c r="Q10" s="201"/>
      <c r="R10" s="202"/>
    </row>
    <row r="11" spans="1:18" x14ac:dyDescent="0.3">
      <c r="A11" s="7" t="s">
        <v>164</v>
      </c>
      <c r="B11" s="8">
        <v>-14820</v>
      </c>
      <c r="C11" s="8">
        <v>-14820</v>
      </c>
      <c r="D11" s="20"/>
      <c r="F11" s="7" t="s">
        <v>128</v>
      </c>
      <c r="G11" s="206" t="e">
        <f>SUMPRODUCT(#REF!,#REF!)/SUM(#REF!)</f>
        <v>#REF!</v>
      </c>
      <c r="H11" s="207"/>
      <c r="K11" s="7" t="s">
        <v>164</v>
      </c>
      <c r="L11" s="8">
        <v>0</v>
      </c>
      <c r="M11" s="8">
        <v>0</v>
      </c>
      <c r="N11" s="20"/>
      <c r="P11" s="7" t="s">
        <v>128</v>
      </c>
      <c r="Q11" s="206">
        <v>2099</v>
      </c>
      <c r="R11" s="207"/>
    </row>
    <row r="12" spans="1:18" ht="15" customHeight="1" thickBot="1" x14ac:dyDescent="0.35">
      <c r="A12" s="10" t="s">
        <v>131</v>
      </c>
      <c r="B12" s="6">
        <f>SUM(B9:B11)*2.94833964144027%</f>
        <v>495939.09307627589</v>
      </c>
      <c r="C12" s="6">
        <f>SUM(C9:C11)*2.94833964144027%</f>
        <v>487875.25207132078</v>
      </c>
      <c r="D12" s="20"/>
      <c r="F12" s="199" t="s">
        <v>130</v>
      </c>
      <c r="G12" s="208" t="e">
        <f>SUMPRODUCT(#REF!,#REF!)/SUM(#REF!)</f>
        <v>#REF!</v>
      </c>
      <c r="H12" s="209"/>
      <c r="K12" s="10" t="s">
        <v>131</v>
      </c>
      <c r="L12" s="6">
        <f>SUM(L9:L11)*3%</f>
        <v>72915.48</v>
      </c>
      <c r="M12" s="6">
        <f>SUM(M9:M11)*3%</f>
        <v>70068.599999999991</v>
      </c>
      <c r="N12" s="20"/>
      <c r="P12" s="199" t="s">
        <v>130</v>
      </c>
      <c r="Q12" s="208">
        <v>2757</v>
      </c>
      <c r="R12" s="209"/>
    </row>
    <row r="13" spans="1:18" ht="15" thickTop="1" x14ac:dyDescent="0.3">
      <c r="A13" s="7" t="s">
        <v>112</v>
      </c>
      <c r="B13" s="8">
        <f>SUM(B9:B11)-B12</f>
        <v>16325022.986923726</v>
      </c>
      <c r="C13" s="8">
        <f>SUM(C9:C11)-C12</f>
        <v>16059582.34792868</v>
      </c>
      <c r="D13" s="20"/>
      <c r="F13" s="199"/>
      <c r="G13" s="208"/>
      <c r="H13" s="209"/>
      <c r="K13" s="7" t="s">
        <v>112</v>
      </c>
      <c r="L13" s="8">
        <f>SUM(L9:L11)-L12</f>
        <v>2357600.52</v>
      </c>
      <c r="M13" s="8">
        <f>SUM(M9:M11)-M12</f>
        <v>2265551.4</v>
      </c>
      <c r="N13" s="20"/>
      <c r="P13" s="199"/>
      <c r="Q13" s="208"/>
      <c r="R13" s="209"/>
    </row>
    <row r="14" spans="1:18" x14ac:dyDescent="0.3">
      <c r="A14" s="7"/>
      <c r="B14" s="8"/>
      <c r="C14" s="8"/>
      <c r="D14" s="20"/>
      <c r="F14" s="7"/>
      <c r="G14" s="201"/>
      <c r="H14" s="202"/>
      <c r="K14" s="7"/>
      <c r="L14" s="8"/>
      <c r="M14" s="8"/>
      <c r="N14" s="20"/>
      <c r="P14" s="7"/>
      <c r="Q14" s="201"/>
      <c r="R14" s="202"/>
    </row>
    <row r="15" spans="1:18" x14ac:dyDescent="0.3">
      <c r="A15" s="7" t="s">
        <v>137</v>
      </c>
      <c r="B15" s="8">
        <v>5142192</v>
      </c>
      <c r="C15" s="8">
        <v>5142192</v>
      </c>
      <c r="D15" s="20"/>
      <c r="F15" s="7" t="s">
        <v>134</v>
      </c>
      <c r="G15" s="203">
        <v>26</v>
      </c>
      <c r="H15" s="204"/>
      <c r="K15" s="7" t="s">
        <v>137</v>
      </c>
      <c r="L15" s="8">
        <v>667000</v>
      </c>
      <c r="M15" s="8">
        <v>667000</v>
      </c>
      <c r="N15" s="20"/>
      <c r="P15" s="7" t="s">
        <v>134</v>
      </c>
      <c r="Q15" s="203">
        <v>26</v>
      </c>
      <c r="R15" s="204"/>
    </row>
    <row r="16" spans="1:18" ht="15" thickBot="1" x14ac:dyDescent="0.35">
      <c r="A16" s="10"/>
      <c r="B16" s="6"/>
      <c r="C16" s="6"/>
      <c r="D16" s="20"/>
      <c r="F16" s="7"/>
      <c r="G16" s="203"/>
      <c r="H16" s="204"/>
      <c r="K16" s="10"/>
      <c r="L16" s="6"/>
      <c r="M16" s="6"/>
      <c r="N16" s="20"/>
      <c r="P16" s="7"/>
      <c r="Q16" s="203"/>
      <c r="R16" s="204"/>
    </row>
    <row r="17" spans="1:18" ht="15" thickTop="1" x14ac:dyDescent="0.3">
      <c r="A17" s="7" t="s">
        <v>139</v>
      </c>
      <c r="B17" s="8">
        <f>B13-B15</f>
        <v>11182830.986923726</v>
      </c>
      <c r="C17" s="8">
        <f>C13-C15</f>
        <v>10917390.34792868</v>
      </c>
      <c r="D17" s="20"/>
      <c r="F17" s="7" t="s">
        <v>138</v>
      </c>
      <c r="G17" s="205">
        <f>D26</f>
        <v>6125553.2075779736</v>
      </c>
      <c r="H17" s="204"/>
      <c r="K17" s="7" t="s">
        <v>139</v>
      </c>
      <c r="L17" s="8">
        <f>L13-L15</f>
        <v>1690600.52</v>
      </c>
      <c r="M17" s="8">
        <f>M13-M15</f>
        <v>1598551.4</v>
      </c>
      <c r="N17" s="20"/>
      <c r="P17" s="7" t="s">
        <v>138</v>
      </c>
      <c r="Q17" s="205">
        <f>N26</f>
        <v>2124210.4615384638</v>
      </c>
      <c r="R17" s="204"/>
    </row>
    <row r="18" spans="1:18" x14ac:dyDescent="0.3">
      <c r="A18" s="7"/>
      <c r="B18" s="8"/>
      <c r="C18" s="8"/>
      <c r="D18" s="20"/>
      <c r="F18" s="7"/>
      <c r="G18" s="203"/>
      <c r="H18" s="204"/>
      <c r="K18" s="7"/>
      <c r="L18" s="8"/>
      <c r="M18" s="8"/>
      <c r="N18" s="20"/>
      <c r="P18" s="7"/>
      <c r="Q18" s="203"/>
      <c r="R18" s="204"/>
    </row>
    <row r="19" spans="1:18" x14ac:dyDescent="0.3">
      <c r="A19" s="7" t="s">
        <v>121</v>
      </c>
      <c r="B19" s="8">
        <f>B17/$B$2</f>
        <v>344087107.2899608</v>
      </c>
      <c r="C19" s="8">
        <f>C17/$B$2</f>
        <v>335919703.01319015</v>
      </c>
      <c r="D19" s="20"/>
      <c r="F19" s="7" t="s">
        <v>140</v>
      </c>
      <c r="G19" s="206" t="e">
        <f>(G12-G11)*G9*12</f>
        <v>#REF!</v>
      </c>
      <c r="H19" s="207">
        <f>IF('1. Application Info'!$B$34="Yes",($H$10-$H$9)*$H$7*12,0)</f>
        <v>0</v>
      </c>
      <c r="K19" s="7" t="s">
        <v>121</v>
      </c>
      <c r="L19" s="8">
        <f>L17/$B$2</f>
        <v>52018477.538461536</v>
      </c>
      <c r="M19" s="8">
        <f>M17/$B$2</f>
        <v>49186196.92307692</v>
      </c>
      <c r="N19" s="20"/>
      <c r="P19" s="7" t="s">
        <v>140</v>
      </c>
      <c r="Q19" s="206">
        <f>(Q12-Q11)*Q9*12</f>
        <v>94752</v>
      </c>
      <c r="R19" s="207">
        <f>IF('1. Application Info'!$B$34="Yes",($H$10-$H$9)*$H$7*12,0)</f>
        <v>0</v>
      </c>
    </row>
    <row r="20" spans="1:18" x14ac:dyDescent="0.3">
      <c r="A20" s="7"/>
      <c r="B20" s="8"/>
      <c r="C20" s="8"/>
      <c r="D20" s="20"/>
      <c r="F20" s="7"/>
      <c r="G20" s="203"/>
      <c r="H20" s="204"/>
      <c r="K20" s="7"/>
      <c r="L20" s="8"/>
      <c r="M20" s="8"/>
      <c r="N20" s="20"/>
      <c r="P20" s="7"/>
      <c r="Q20" s="203"/>
      <c r="R20" s="204"/>
    </row>
    <row r="21" spans="1:18" x14ac:dyDescent="0.3">
      <c r="A21" s="7" t="s">
        <v>67</v>
      </c>
      <c r="B21" s="8">
        <f>B19*$B$3</f>
        <v>258065330.46747059</v>
      </c>
      <c r="C21" s="8">
        <f>C19*$B$3</f>
        <v>251939777.25989261</v>
      </c>
      <c r="D21" s="20"/>
      <c r="F21" s="7" t="s">
        <v>143</v>
      </c>
      <c r="G21" s="210" t="e">
        <f>-PV(6%,'2021Applications'!G15,G19,,)</f>
        <v>#REF!</v>
      </c>
      <c r="H21" s="207" t="e">
        <f>PV(#REF!,NOIBased!$H$9,-NOIBased!$H$15,,)</f>
        <v>#REF!</v>
      </c>
      <c r="K21" s="7" t="s">
        <v>67</v>
      </c>
      <c r="L21" s="8">
        <f>L19*$B$3</f>
        <v>39013858.153846152</v>
      </c>
      <c r="M21" s="8">
        <f>M19*$B$3</f>
        <v>36889647.692307688</v>
      </c>
      <c r="N21" s="20"/>
      <c r="P21" s="7" t="s">
        <v>143</v>
      </c>
      <c r="Q21" s="210">
        <f>-PV(6%,'2021Applications'!Q15,Q19,,)</f>
        <v>1232076.0025549515</v>
      </c>
      <c r="R21" s="207" t="e">
        <f>PV(#REF!,NOIBased!$H$9,-NOIBased!$H$15,,)</f>
        <v>#REF!</v>
      </c>
    </row>
    <row r="22" spans="1:18" x14ac:dyDescent="0.3">
      <c r="A22" s="7" t="s">
        <v>66</v>
      </c>
      <c r="B22" s="8">
        <f>B24-B21</f>
        <v>40692910.532529414</v>
      </c>
      <c r="C22" s="8">
        <f>C24-C21</f>
        <v>46818463.740107387</v>
      </c>
      <c r="D22" s="20"/>
      <c r="F22" s="7"/>
      <c r="G22" s="203"/>
      <c r="H22" s="204"/>
      <c r="K22" s="7" t="s">
        <v>66</v>
      </c>
      <c r="L22" s="8">
        <f>L24-L21</f>
        <v>4735762.8461538479</v>
      </c>
      <c r="M22" s="8">
        <f>M24-M21</f>
        <v>6859973.3076923117</v>
      </c>
      <c r="N22" s="20"/>
      <c r="P22" s="7"/>
      <c r="Q22" s="203"/>
      <c r="R22" s="204"/>
    </row>
    <row r="23" spans="1:18" x14ac:dyDescent="0.3">
      <c r="A23" s="7"/>
      <c r="B23" s="8"/>
      <c r="C23" s="8"/>
      <c r="D23" s="20"/>
      <c r="F23" s="7" t="s">
        <v>146</v>
      </c>
      <c r="G23" s="206" t="e">
        <f>G21-G17</f>
        <v>#REF!</v>
      </c>
      <c r="H23" s="207"/>
      <c r="K23" s="7"/>
      <c r="L23" s="8"/>
      <c r="M23" s="8"/>
      <c r="N23" s="20"/>
      <c r="P23" s="7" t="s">
        <v>146</v>
      </c>
      <c r="Q23" s="210">
        <f>Q21-Q17</f>
        <v>-892134.45898351236</v>
      </c>
      <c r="R23" s="207"/>
    </row>
    <row r="24" spans="1:18" x14ac:dyDescent="0.3">
      <c r="A24" s="7" t="s">
        <v>64</v>
      </c>
      <c r="B24" s="8">
        <v>298758241</v>
      </c>
      <c r="C24" s="8">
        <v>298758241</v>
      </c>
      <c r="D24" s="20"/>
      <c r="F24" s="7"/>
      <c r="G24" s="203"/>
      <c r="H24" s="204"/>
      <c r="K24" s="7" t="s">
        <v>64</v>
      </c>
      <c r="L24" s="8">
        <v>43749621</v>
      </c>
      <c r="M24" s="8">
        <v>43749621</v>
      </c>
      <c r="N24" s="20"/>
      <c r="P24" s="7"/>
      <c r="Q24" s="203"/>
      <c r="R24" s="204"/>
    </row>
    <row r="25" spans="1:18" x14ac:dyDescent="0.3">
      <c r="A25" s="7"/>
      <c r="B25" s="8"/>
      <c r="C25" s="8"/>
      <c r="D25" s="20"/>
      <c r="F25" s="23" t="s">
        <v>148</v>
      </c>
      <c r="G25" s="211" t="e">
        <f>G23/G17</f>
        <v>#REF!</v>
      </c>
      <c r="H25" s="212"/>
      <c r="K25" s="7"/>
      <c r="L25" s="8"/>
      <c r="M25" s="8"/>
      <c r="N25" s="20"/>
      <c r="P25" s="23" t="s">
        <v>148</v>
      </c>
      <c r="Q25" s="211">
        <f>Q23/Q17</f>
        <v>-0.41998402471729762</v>
      </c>
      <c r="R25" s="212"/>
    </row>
    <row r="26" spans="1:18" x14ac:dyDescent="0.3">
      <c r="A26" s="7" t="s">
        <v>165</v>
      </c>
      <c r="B26" s="8"/>
      <c r="C26" s="8"/>
      <c r="D26" s="44">
        <f>C22-B22</f>
        <v>6125553.2075779736</v>
      </c>
      <c r="K26" s="7" t="s">
        <v>165</v>
      </c>
      <c r="L26" s="8"/>
      <c r="M26" s="8"/>
      <c r="N26" s="44">
        <f>M22-L22</f>
        <v>2124210.4615384638</v>
      </c>
    </row>
    <row r="27" spans="1:18" x14ac:dyDescent="0.3">
      <c r="A27" s="23" t="s">
        <v>166</v>
      </c>
      <c r="B27" s="45"/>
      <c r="C27" s="45"/>
      <c r="D27" s="46">
        <f>D26/G9</f>
        <v>122511.06415155948</v>
      </c>
      <c r="K27" s="23" t="s">
        <v>166</v>
      </c>
      <c r="L27" s="45"/>
      <c r="M27" s="45"/>
      <c r="N27" s="46">
        <f>N26/Q9</f>
        <v>177017.53846153864</v>
      </c>
    </row>
    <row r="30" spans="1:18" x14ac:dyDescent="0.3">
      <c r="A30" s="49" t="s">
        <v>167</v>
      </c>
      <c r="K30" s="49" t="s">
        <v>168</v>
      </c>
    </row>
    <row r="32" spans="1:18" x14ac:dyDescent="0.3">
      <c r="A32" s="24"/>
      <c r="B32" s="26" t="s">
        <v>162</v>
      </c>
      <c r="C32" s="26" t="s">
        <v>163</v>
      </c>
      <c r="D32" s="27"/>
      <c r="F32" s="196" t="s">
        <v>126</v>
      </c>
      <c r="G32" s="197"/>
      <c r="H32" s="198"/>
      <c r="K32" s="24"/>
      <c r="L32" s="26" t="s">
        <v>162</v>
      </c>
      <c r="M32" s="26" t="s">
        <v>163</v>
      </c>
      <c r="N32" s="27"/>
      <c r="P32" s="196" t="s">
        <v>126</v>
      </c>
      <c r="Q32" s="197"/>
      <c r="R32" s="198"/>
    </row>
    <row r="33" spans="1:18" x14ac:dyDescent="0.3">
      <c r="A33" s="7"/>
      <c r="D33" s="9"/>
      <c r="F33" s="7"/>
      <c r="G33" s="201"/>
      <c r="H33" s="202"/>
      <c r="K33" s="7"/>
      <c r="N33" s="9"/>
      <c r="P33" s="7"/>
      <c r="Q33" s="201"/>
      <c r="R33" s="202"/>
    </row>
    <row r="34" spans="1:18" x14ac:dyDescent="0.3">
      <c r="A34" s="7" t="s">
        <v>129</v>
      </c>
      <c r="B34" s="8">
        <v>6752160</v>
      </c>
      <c r="C34" s="8">
        <v>5375448</v>
      </c>
      <c r="D34" s="20"/>
      <c r="F34" s="7" t="s">
        <v>127</v>
      </c>
      <c r="G34" s="203">
        <v>125</v>
      </c>
      <c r="H34" s="204"/>
      <c r="K34" s="7" t="s">
        <v>129</v>
      </c>
      <c r="L34" s="8">
        <v>388800</v>
      </c>
      <c r="M34" s="8">
        <v>354600</v>
      </c>
      <c r="N34" s="20"/>
      <c r="P34" s="7" t="s">
        <v>127</v>
      </c>
      <c r="Q34" s="203">
        <v>5</v>
      </c>
      <c r="R34" s="204"/>
    </row>
    <row r="35" spans="1:18" x14ac:dyDescent="0.3">
      <c r="A35" s="7" t="s">
        <v>133</v>
      </c>
      <c r="B35" s="8">
        <v>156000</v>
      </c>
      <c r="C35" s="8">
        <v>156000</v>
      </c>
      <c r="D35" s="20"/>
      <c r="F35" s="7"/>
      <c r="G35" s="201"/>
      <c r="H35" s="202"/>
      <c r="K35" s="7" t="s">
        <v>133</v>
      </c>
      <c r="L35" s="8">
        <v>0</v>
      </c>
      <c r="M35" s="8">
        <v>0</v>
      </c>
      <c r="N35" s="20"/>
      <c r="P35" s="7"/>
      <c r="Q35" s="201"/>
      <c r="R35" s="202"/>
    </row>
    <row r="36" spans="1:18" x14ac:dyDescent="0.3">
      <c r="A36" s="7" t="s">
        <v>164</v>
      </c>
      <c r="B36" s="8">
        <v>0</v>
      </c>
      <c r="C36" s="8">
        <v>0</v>
      </c>
      <c r="D36" s="20"/>
      <c r="F36" s="7" t="s">
        <v>128</v>
      </c>
      <c r="G36" s="206">
        <v>1552.43</v>
      </c>
      <c r="H36" s="207"/>
      <c r="K36" s="7" t="s">
        <v>164</v>
      </c>
      <c r="L36" s="8">
        <v>0</v>
      </c>
      <c r="M36" s="8">
        <v>0</v>
      </c>
      <c r="N36" s="20"/>
      <c r="P36" s="7" t="s">
        <v>128</v>
      </c>
      <c r="Q36" s="206">
        <v>2130</v>
      </c>
      <c r="R36" s="207"/>
    </row>
    <row r="37" spans="1:18" ht="15" thickBot="1" x14ac:dyDescent="0.35">
      <c r="A37" s="10" t="s">
        <v>131</v>
      </c>
      <c r="B37" s="6">
        <f>SUM(B34:B36)*3.5%</f>
        <v>241785.60000000003</v>
      </c>
      <c r="C37" s="6">
        <f>SUM(C34:C36)*3.5%</f>
        <v>193600.68000000002</v>
      </c>
      <c r="D37" s="20"/>
      <c r="F37" s="199" t="s">
        <v>130</v>
      </c>
      <c r="G37" s="208">
        <v>2470</v>
      </c>
      <c r="H37" s="209"/>
      <c r="K37" s="10" t="s">
        <v>131</v>
      </c>
      <c r="L37" s="6">
        <f>SUM(L34:L36)*4%</f>
        <v>15552</v>
      </c>
      <c r="M37" s="6">
        <f>SUM(M34:M36)*4%</f>
        <v>14184</v>
      </c>
      <c r="N37" s="20"/>
      <c r="P37" s="199" t="s">
        <v>130</v>
      </c>
      <c r="Q37" s="208">
        <v>2700</v>
      </c>
      <c r="R37" s="209"/>
    </row>
    <row r="38" spans="1:18" ht="15" thickTop="1" x14ac:dyDescent="0.3">
      <c r="A38" s="7" t="s">
        <v>112</v>
      </c>
      <c r="B38" s="8">
        <f>SUM(B34:B36)-B37</f>
        <v>6666374.4000000004</v>
      </c>
      <c r="C38" s="8">
        <f>SUM(C34:C36)-C37</f>
        <v>5337847.32</v>
      </c>
      <c r="D38" s="20"/>
      <c r="F38" s="199"/>
      <c r="G38" s="208"/>
      <c r="H38" s="209"/>
      <c r="K38" s="7" t="s">
        <v>112</v>
      </c>
      <c r="L38" s="8">
        <f>SUM(L34:L36)-L37</f>
        <v>373248</v>
      </c>
      <c r="M38" s="8">
        <f>SUM(M34:M36)-M37</f>
        <v>340416</v>
      </c>
      <c r="N38" s="20"/>
      <c r="P38" s="199"/>
      <c r="Q38" s="208"/>
      <c r="R38" s="209"/>
    </row>
    <row r="39" spans="1:18" x14ac:dyDescent="0.3">
      <c r="A39" s="7"/>
      <c r="B39" s="8"/>
      <c r="C39" s="8"/>
      <c r="D39" s="20"/>
      <c r="F39" s="7"/>
      <c r="G39" s="201"/>
      <c r="H39" s="202"/>
      <c r="K39" s="7"/>
      <c r="L39" s="8"/>
      <c r="M39" s="8"/>
      <c r="N39" s="20"/>
      <c r="P39" s="7"/>
      <c r="Q39" s="201"/>
      <c r="R39" s="202"/>
    </row>
    <row r="40" spans="1:18" x14ac:dyDescent="0.3">
      <c r="A40" s="7" t="s">
        <v>137</v>
      </c>
      <c r="B40" s="8">
        <v>1486149</v>
      </c>
      <c r="C40" s="8">
        <v>1486149</v>
      </c>
      <c r="D40" s="20"/>
      <c r="F40" s="7" t="s">
        <v>134</v>
      </c>
      <c r="G40" s="203">
        <v>41</v>
      </c>
      <c r="H40" s="204"/>
      <c r="K40" s="7" t="s">
        <v>137</v>
      </c>
      <c r="L40" s="8">
        <v>101897</v>
      </c>
      <c r="M40" s="8">
        <v>101897</v>
      </c>
      <c r="N40" s="20"/>
      <c r="P40" s="7" t="s">
        <v>134</v>
      </c>
      <c r="Q40" s="203">
        <v>26</v>
      </c>
      <c r="R40" s="204"/>
    </row>
    <row r="41" spans="1:18" ht="15" thickBot="1" x14ac:dyDescent="0.35">
      <c r="A41" s="10"/>
      <c r="B41" s="6"/>
      <c r="C41" s="6"/>
      <c r="D41" s="20"/>
      <c r="F41" s="7"/>
      <c r="G41" s="203"/>
      <c r="H41" s="204"/>
      <c r="K41" s="10"/>
      <c r="L41" s="6"/>
      <c r="M41" s="6"/>
      <c r="N41" s="20"/>
      <c r="P41" s="7"/>
      <c r="Q41" s="203"/>
      <c r="R41" s="204"/>
    </row>
    <row r="42" spans="1:18" ht="15" thickTop="1" x14ac:dyDescent="0.3">
      <c r="A42" s="7" t="s">
        <v>139</v>
      </c>
      <c r="B42" s="8">
        <f>B38-B40</f>
        <v>5180225.4000000004</v>
      </c>
      <c r="C42" s="8">
        <f>C38-C40</f>
        <v>3851698.3200000003</v>
      </c>
      <c r="D42" s="20"/>
      <c r="F42" s="7" t="s">
        <v>138</v>
      </c>
      <c r="G42" s="205">
        <f>D51</f>
        <v>30658317.230769232</v>
      </c>
      <c r="H42" s="204"/>
      <c r="K42" s="7" t="s">
        <v>139</v>
      </c>
      <c r="L42" s="8">
        <f>L38-L40</f>
        <v>271351</v>
      </c>
      <c r="M42" s="8">
        <f>M38-M40</f>
        <v>238519</v>
      </c>
      <c r="N42" s="20"/>
      <c r="P42" s="7" t="s">
        <v>138</v>
      </c>
      <c r="Q42" s="205">
        <f>N51</f>
        <v>757661.53846153803</v>
      </c>
      <c r="R42" s="204"/>
    </row>
    <row r="43" spans="1:18" x14ac:dyDescent="0.3">
      <c r="A43" s="7"/>
      <c r="B43" s="8"/>
      <c r="C43" s="8"/>
      <c r="D43" s="20"/>
      <c r="F43" s="7"/>
      <c r="G43" s="203"/>
      <c r="H43" s="204"/>
      <c r="K43" s="7"/>
      <c r="L43" s="8"/>
      <c r="M43" s="8"/>
      <c r="N43" s="20"/>
      <c r="P43" s="7"/>
      <c r="Q43" s="203"/>
      <c r="R43" s="204"/>
    </row>
    <row r="44" spans="1:18" x14ac:dyDescent="0.3">
      <c r="A44" s="7" t="s">
        <v>121</v>
      </c>
      <c r="B44" s="8">
        <f>B42/$B$2</f>
        <v>159391550.76923078</v>
      </c>
      <c r="C44" s="8">
        <f>C42/$B$2</f>
        <v>118513794.46153846</v>
      </c>
      <c r="D44" s="20"/>
      <c r="F44" s="7" t="s">
        <v>140</v>
      </c>
      <c r="G44" s="206">
        <f>(G37-G36)*G34*12</f>
        <v>1376354.9999999998</v>
      </c>
      <c r="H44" s="207">
        <f>IF('1. Application Info'!$B$34="Yes",($H$10-$H$9)*$H$7*12,0)</f>
        <v>0</v>
      </c>
      <c r="K44" s="7" t="s">
        <v>121</v>
      </c>
      <c r="L44" s="8">
        <f>L42/$B$2</f>
        <v>8349261.538461538</v>
      </c>
      <c r="M44" s="8">
        <f>M42/$B$2</f>
        <v>7339046.153846154</v>
      </c>
      <c r="N44" s="20"/>
      <c r="P44" s="7" t="s">
        <v>140</v>
      </c>
      <c r="Q44" s="206">
        <f>(Q37-Q36)*Q34*12</f>
        <v>34200</v>
      </c>
      <c r="R44" s="207">
        <f>IF('1. Application Info'!$B$34="Yes",($H$10-$H$9)*$H$7*12,0)</f>
        <v>0</v>
      </c>
    </row>
    <row r="45" spans="1:18" x14ac:dyDescent="0.3">
      <c r="A45" s="7"/>
      <c r="B45" s="8"/>
      <c r="C45" s="8"/>
      <c r="D45" s="20"/>
      <c r="F45" s="7"/>
      <c r="G45" s="203"/>
      <c r="H45" s="204"/>
      <c r="K45" s="7"/>
      <c r="L45" s="8"/>
      <c r="M45" s="8"/>
      <c r="N45" s="20"/>
      <c r="P45" s="7"/>
      <c r="Q45" s="203"/>
      <c r="R45" s="204"/>
    </row>
    <row r="46" spans="1:18" x14ac:dyDescent="0.3">
      <c r="A46" s="7" t="s">
        <v>67</v>
      </c>
      <c r="B46" s="8">
        <f>B44*$B$3</f>
        <v>119543663.07692309</v>
      </c>
      <c r="C46" s="8">
        <f>C44*$B$3</f>
        <v>88885345.846153855</v>
      </c>
      <c r="D46" s="20"/>
      <c r="F46" s="7" t="s">
        <v>143</v>
      </c>
      <c r="G46" s="210">
        <f>-PV(6%,'2021Applications'!G40,G44,,)</f>
        <v>20835283.896799676</v>
      </c>
      <c r="H46" s="207" t="e">
        <f>PV(#REF!,NOIBased!$H$9,-NOIBased!$H$15,,)</f>
        <v>#REF!</v>
      </c>
      <c r="K46" s="7" t="s">
        <v>67</v>
      </c>
      <c r="L46" s="8">
        <f>L44*$B$3</f>
        <v>6261946.153846154</v>
      </c>
      <c r="M46" s="8">
        <f>M44*$B$3</f>
        <v>5504284.615384616</v>
      </c>
      <c r="N46" s="20"/>
      <c r="P46" s="7" t="s">
        <v>143</v>
      </c>
      <c r="Q46" s="210" t="e">
        <f>-PV(#REF!,'2021Applications'!Q40,Q44,,)</f>
        <v>#REF!</v>
      </c>
      <c r="R46" s="207" t="e">
        <f>PV(#REF!,NOIBased!$H$9,-NOIBased!$H$15,,)</f>
        <v>#REF!</v>
      </c>
    </row>
    <row r="47" spans="1:18" x14ac:dyDescent="0.3">
      <c r="A47" s="7" t="s">
        <v>66</v>
      </c>
      <c r="B47" s="8">
        <f>B49-B46</f>
        <v>10461833.923076913</v>
      </c>
      <c r="C47" s="8">
        <f>C49-C46</f>
        <v>41120151.153846145</v>
      </c>
      <c r="D47" s="20"/>
      <c r="F47" s="7"/>
      <c r="G47" s="203"/>
      <c r="H47" s="204"/>
      <c r="K47" s="7" t="s">
        <v>66</v>
      </c>
      <c r="L47" s="8">
        <f>L49-L46</f>
        <v>2967933.846153846</v>
      </c>
      <c r="M47" s="8">
        <f>M49-M46</f>
        <v>3725595.384615384</v>
      </c>
      <c r="N47" s="20"/>
      <c r="P47" s="7"/>
      <c r="Q47" s="203"/>
      <c r="R47" s="204"/>
    </row>
    <row r="48" spans="1:18" x14ac:dyDescent="0.3">
      <c r="A48" s="7"/>
      <c r="B48" s="8"/>
      <c r="C48" s="8"/>
      <c r="D48" s="20"/>
      <c r="F48" s="7" t="s">
        <v>146</v>
      </c>
      <c r="G48" s="206">
        <f>G46-G42</f>
        <v>-9823033.3339695558</v>
      </c>
      <c r="H48" s="207"/>
      <c r="K48" s="7"/>
      <c r="L48" s="8"/>
      <c r="M48" s="8"/>
      <c r="N48" s="20"/>
      <c r="P48" s="7" t="s">
        <v>146</v>
      </c>
      <c r="Q48" s="206" t="e">
        <f>Q46-Q42</f>
        <v>#REF!</v>
      </c>
      <c r="R48" s="207"/>
    </row>
    <row r="49" spans="1:18" x14ac:dyDescent="0.3">
      <c r="A49" s="7" t="s">
        <v>64</v>
      </c>
      <c r="B49" s="8">
        <v>130005497</v>
      </c>
      <c r="C49" s="8">
        <v>130005497</v>
      </c>
      <c r="D49" s="20"/>
      <c r="F49" s="7"/>
      <c r="G49" s="203"/>
      <c r="H49" s="204"/>
      <c r="K49" s="7" t="s">
        <v>64</v>
      </c>
      <c r="L49" s="8">
        <v>9229880</v>
      </c>
      <c r="M49" s="8">
        <v>9229880</v>
      </c>
      <c r="N49" s="20"/>
      <c r="P49" s="7"/>
      <c r="Q49" s="203"/>
      <c r="R49" s="204"/>
    </row>
    <row r="50" spans="1:18" x14ac:dyDescent="0.3">
      <c r="A50" s="7"/>
      <c r="B50" s="8"/>
      <c r="C50" s="8"/>
      <c r="D50" s="20"/>
      <c r="F50" s="23" t="s">
        <v>148</v>
      </c>
      <c r="G50" s="211">
        <f>G48/G42</f>
        <v>-0.3204035387862379</v>
      </c>
      <c r="H50" s="212"/>
      <c r="K50" s="7"/>
      <c r="L50" s="8"/>
      <c r="M50" s="8"/>
      <c r="N50" s="20"/>
      <c r="P50" s="23" t="s">
        <v>148</v>
      </c>
      <c r="Q50" s="211" t="e">
        <f>Q48/Q42</f>
        <v>#REF!</v>
      </c>
      <c r="R50" s="212"/>
    </row>
    <row r="51" spans="1:18" x14ac:dyDescent="0.3">
      <c r="A51" s="7" t="s">
        <v>165</v>
      </c>
      <c r="B51" s="8"/>
      <c r="C51" s="8"/>
      <c r="D51" s="44">
        <f>C47-B47</f>
        <v>30658317.230769232</v>
      </c>
      <c r="K51" s="7" t="s">
        <v>165</v>
      </c>
      <c r="L51" s="8"/>
      <c r="M51" s="8"/>
      <c r="N51" s="44">
        <f>M47-L47</f>
        <v>757661.53846153803</v>
      </c>
    </row>
    <row r="52" spans="1:18" x14ac:dyDescent="0.3">
      <c r="A52" s="23" t="s">
        <v>166</v>
      </c>
      <c r="B52" s="45"/>
      <c r="C52" s="45"/>
      <c r="D52" s="46">
        <f>D51/G34</f>
        <v>245266.53784615386</v>
      </c>
      <c r="K52" s="23" t="s">
        <v>166</v>
      </c>
      <c r="L52" s="45"/>
      <c r="M52" s="45"/>
      <c r="N52" s="46">
        <f>N51/Q34</f>
        <v>151532.3076923076</v>
      </c>
    </row>
    <row r="55" spans="1:18" x14ac:dyDescent="0.3">
      <c r="A55" s="49" t="s">
        <v>169</v>
      </c>
      <c r="K55" s="49" t="s">
        <v>170</v>
      </c>
    </row>
    <row r="57" spans="1:18" x14ac:dyDescent="0.3">
      <c r="A57" s="24"/>
      <c r="B57" s="26" t="s">
        <v>162</v>
      </c>
      <c r="C57" s="26" t="s">
        <v>163</v>
      </c>
      <c r="D57" s="27"/>
      <c r="F57" s="196" t="s">
        <v>126</v>
      </c>
      <c r="G57" s="197"/>
      <c r="H57" s="198"/>
      <c r="K57" s="24"/>
      <c r="L57" s="26" t="s">
        <v>162</v>
      </c>
      <c r="M57" s="26" t="s">
        <v>163</v>
      </c>
      <c r="N57" s="27"/>
      <c r="P57" s="196" t="s">
        <v>126</v>
      </c>
      <c r="Q57" s="197"/>
      <c r="R57" s="198"/>
    </row>
    <row r="58" spans="1:18" x14ac:dyDescent="0.3">
      <c r="A58" s="7"/>
      <c r="D58" s="9"/>
      <c r="F58" s="7"/>
      <c r="G58" s="201"/>
      <c r="H58" s="202"/>
      <c r="K58" s="7"/>
      <c r="N58" s="9"/>
      <c r="P58" s="7"/>
      <c r="Q58" s="201"/>
      <c r="R58" s="202"/>
    </row>
    <row r="59" spans="1:18" x14ac:dyDescent="0.3">
      <c r="A59" s="7" t="s">
        <v>129</v>
      </c>
      <c r="B59" s="8">
        <v>8316553.051859594</v>
      </c>
      <c r="C59" s="8">
        <v>8163185.6586000007</v>
      </c>
      <c r="D59" s="20"/>
      <c r="F59" s="7" t="s">
        <v>127</v>
      </c>
      <c r="G59" s="203">
        <v>16</v>
      </c>
      <c r="H59" s="204"/>
      <c r="K59" s="7" t="s">
        <v>129</v>
      </c>
      <c r="L59" s="8">
        <v>6970036.266138766</v>
      </c>
      <c r="M59" s="8">
        <v>6873293.0100571448</v>
      </c>
      <c r="N59" s="20"/>
      <c r="P59" s="7" t="s">
        <v>127</v>
      </c>
      <c r="Q59" s="203">
        <v>12</v>
      </c>
      <c r="R59" s="204"/>
    </row>
    <row r="60" spans="1:18" x14ac:dyDescent="0.3">
      <c r="A60" s="7" t="s">
        <v>133</v>
      </c>
      <c r="B60" s="8">
        <v>800905</v>
      </c>
      <c r="C60" s="8">
        <v>800905</v>
      </c>
      <c r="D60" s="20"/>
      <c r="F60" s="7"/>
      <c r="G60" s="201"/>
      <c r="H60" s="202"/>
      <c r="K60" s="7" t="s">
        <v>133</v>
      </c>
      <c r="L60" s="8">
        <v>261000</v>
      </c>
      <c r="M60" s="8">
        <v>261000</v>
      </c>
      <c r="N60" s="20"/>
      <c r="P60" s="7"/>
      <c r="Q60" s="201"/>
      <c r="R60" s="202"/>
    </row>
    <row r="61" spans="1:18" x14ac:dyDescent="0.3">
      <c r="A61" s="7" t="s">
        <v>164</v>
      </c>
      <c r="B61" s="8">
        <v>63900</v>
      </c>
      <c r="C61" s="8">
        <v>63900</v>
      </c>
      <c r="D61" s="20"/>
      <c r="F61" s="7" t="s">
        <v>128</v>
      </c>
      <c r="G61" s="206">
        <v>1743</v>
      </c>
      <c r="H61" s="207"/>
      <c r="K61" s="7" t="s">
        <v>164</v>
      </c>
      <c r="L61" s="8">
        <v>22800</v>
      </c>
      <c r="M61" s="8">
        <v>22800</v>
      </c>
      <c r="N61" s="20"/>
      <c r="P61" s="7" t="s">
        <v>128</v>
      </c>
      <c r="Q61" s="206">
        <v>1485</v>
      </c>
      <c r="R61" s="207"/>
    </row>
    <row r="62" spans="1:18" ht="15" thickBot="1" x14ac:dyDescent="0.35">
      <c r="A62" s="10" t="s">
        <v>131</v>
      </c>
      <c r="B62" s="6">
        <f>SUM(B59:B61)*2.05%</f>
        <v>188217.84006312166</v>
      </c>
      <c r="C62" s="6">
        <f>SUM(C59:C61)*2.05%</f>
        <v>185073.80850129999</v>
      </c>
      <c r="D62" s="20"/>
      <c r="F62" s="199" t="s">
        <v>130</v>
      </c>
      <c r="G62" s="208">
        <v>2542</v>
      </c>
      <c r="H62" s="209"/>
      <c r="K62" s="10" t="s">
        <v>131</v>
      </c>
      <c r="L62" s="6">
        <f>SUM(L59:L61)*1.75%</f>
        <v>126942.13465742841</v>
      </c>
      <c r="M62" s="6">
        <f>SUM(M59:M61)*1.75%</f>
        <v>125249.12767600005</v>
      </c>
      <c r="N62" s="20"/>
      <c r="P62" s="199" t="s">
        <v>130</v>
      </c>
      <c r="Q62" s="208">
        <v>2157</v>
      </c>
      <c r="R62" s="209"/>
    </row>
    <row r="63" spans="1:18" ht="15" thickTop="1" x14ac:dyDescent="0.3">
      <c r="A63" s="7" t="s">
        <v>112</v>
      </c>
      <c r="B63" s="8">
        <f>SUM(B59:B61)-B62</f>
        <v>8993140.2117964737</v>
      </c>
      <c r="C63" s="8">
        <f>SUM(C59:C61)-C62</f>
        <v>8842916.8500987012</v>
      </c>
      <c r="D63" s="20"/>
      <c r="F63" s="199"/>
      <c r="G63" s="208"/>
      <c r="H63" s="209"/>
      <c r="K63" s="7" t="s">
        <v>112</v>
      </c>
      <c r="L63" s="8">
        <f>SUM(L59:L61)-L62</f>
        <v>7126894.1314813374</v>
      </c>
      <c r="M63" s="8">
        <f>SUM(M59:M61)-M62</f>
        <v>7031843.8823811449</v>
      </c>
      <c r="N63" s="20"/>
      <c r="P63" s="199"/>
      <c r="Q63" s="208"/>
      <c r="R63" s="209"/>
    </row>
    <row r="64" spans="1:18" x14ac:dyDescent="0.3">
      <c r="A64" s="7"/>
      <c r="B64" s="8"/>
      <c r="C64" s="8"/>
      <c r="D64" s="20"/>
      <c r="F64" s="7"/>
      <c r="G64" s="201"/>
      <c r="H64" s="202"/>
      <c r="K64" s="7"/>
      <c r="L64" s="8"/>
      <c r="M64" s="8"/>
      <c r="N64" s="20"/>
      <c r="P64" s="7"/>
      <c r="Q64" s="201"/>
      <c r="R64" s="202"/>
    </row>
    <row r="65" spans="1:18" x14ac:dyDescent="0.3">
      <c r="A65" s="7" t="s">
        <v>137</v>
      </c>
      <c r="B65" s="8">
        <v>2694089</v>
      </c>
      <c r="C65" s="8">
        <v>2694089</v>
      </c>
      <c r="D65" s="20"/>
      <c r="F65" s="7" t="s">
        <v>134</v>
      </c>
      <c r="G65" s="203">
        <v>41</v>
      </c>
      <c r="H65" s="204"/>
      <c r="K65" s="7" t="s">
        <v>137</v>
      </c>
      <c r="L65" s="8">
        <v>2219213</v>
      </c>
      <c r="M65" s="8">
        <v>2219213</v>
      </c>
      <c r="N65" s="20"/>
      <c r="P65" s="7" t="s">
        <v>134</v>
      </c>
      <c r="Q65" s="203">
        <v>41</v>
      </c>
      <c r="R65" s="204"/>
    </row>
    <row r="66" spans="1:18" ht="15" thickBot="1" x14ac:dyDescent="0.35">
      <c r="A66" s="10"/>
      <c r="B66" s="6"/>
      <c r="C66" s="6"/>
      <c r="D66" s="20"/>
      <c r="F66" s="7"/>
      <c r="G66" s="203"/>
      <c r="H66" s="204"/>
      <c r="K66" s="10"/>
      <c r="L66" s="6"/>
      <c r="M66" s="6"/>
      <c r="N66" s="20"/>
      <c r="P66" s="7"/>
      <c r="Q66" s="203"/>
      <c r="R66" s="204"/>
    </row>
    <row r="67" spans="1:18" ht="15" thickTop="1" x14ac:dyDescent="0.3">
      <c r="A67" s="7" t="s">
        <v>139</v>
      </c>
      <c r="B67" s="8">
        <f>B63-B65</f>
        <v>6299051.2117964737</v>
      </c>
      <c r="C67" s="8">
        <f>C63-C65</f>
        <v>6148827.8500987012</v>
      </c>
      <c r="D67" s="20"/>
      <c r="F67" s="7" t="s">
        <v>138</v>
      </c>
      <c r="G67" s="205">
        <f>D76</f>
        <v>3466692.9622562826</v>
      </c>
      <c r="H67" s="204"/>
      <c r="K67" s="7" t="s">
        <v>139</v>
      </c>
      <c r="L67" s="8">
        <f>L63-L65</f>
        <v>4907681.1314813374</v>
      </c>
      <c r="M67" s="8">
        <f>M63-M65</f>
        <v>4812630.8823811449</v>
      </c>
      <c r="N67" s="20"/>
      <c r="P67" s="7" t="s">
        <v>138</v>
      </c>
      <c r="Q67" s="205">
        <f>N76</f>
        <v>2193467.2869275212</v>
      </c>
      <c r="R67" s="204"/>
    </row>
    <row r="68" spans="1:18" x14ac:dyDescent="0.3">
      <c r="A68" s="7"/>
      <c r="B68" s="8"/>
      <c r="C68" s="8"/>
      <c r="D68" s="20"/>
      <c r="F68" s="7"/>
      <c r="G68" s="203"/>
      <c r="H68" s="204"/>
      <c r="K68" s="7"/>
      <c r="L68" s="8"/>
      <c r="M68" s="8"/>
      <c r="N68" s="20"/>
      <c r="P68" s="7"/>
      <c r="Q68" s="203"/>
      <c r="R68" s="204"/>
    </row>
    <row r="69" spans="1:18" x14ac:dyDescent="0.3">
      <c r="A69" s="7" t="s">
        <v>121</v>
      </c>
      <c r="B69" s="8">
        <f>B67/3.25%</f>
        <v>193816960.36296842</v>
      </c>
      <c r="C69" s="8">
        <f>C67/3.25%</f>
        <v>189194703.07996002</v>
      </c>
      <c r="D69" s="20"/>
      <c r="F69" s="7" t="s">
        <v>140</v>
      </c>
      <c r="G69" s="206">
        <f>(G62-G61)*G59*12</f>
        <v>153408</v>
      </c>
      <c r="H69" s="207">
        <f>IF('1. Application Info'!$B$34="Yes",($H$10-$H$9)*$H$7*12,0)</f>
        <v>0</v>
      </c>
      <c r="K69" s="7" t="s">
        <v>121</v>
      </c>
      <c r="L69" s="8">
        <f>L67/$B$2</f>
        <v>151005573.27634883</v>
      </c>
      <c r="M69" s="8">
        <f>M67/$B$2</f>
        <v>148080950.22711214</v>
      </c>
      <c r="N69" s="20"/>
      <c r="P69" s="7" t="s">
        <v>140</v>
      </c>
      <c r="Q69" s="206">
        <f>(Q62-Q61)*Q59*12</f>
        <v>96768</v>
      </c>
      <c r="R69" s="207">
        <f>IF('1. Application Info'!$B$34="Yes",($H$10-$H$9)*$H$7*12,0)</f>
        <v>0</v>
      </c>
    </row>
    <row r="70" spans="1:18" x14ac:dyDescent="0.3">
      <c r="A70" s="7"/>
      <c r="B70" s="8"/>
      <c r="C70" s="8"/>
      <c r="D70" s="20"/>
      <c r="F70" s="7"/>
      <c r="G70" s="203"/>
      <c r="H70" s="204"/>
      <c r="K70" s="7"/>
      <c r="L70" s="8"/>
      <c r="M70" s="8"/>
      <c r="N70" s="20"/>
      <c r="P70" s="7"/>
      <c r="Q70" s="203"/>
      <c r="R70" s="204"/>
    </row>
    <row r="71" spans="1:18" x14ac:dyDescent="0.3">
      <c r="A71" s="7" t="s">
        <v>67</v>
      </c>
      <c r="B71" s="8">
        <f>B69*$B$3</f>
        <v>145362720.2722263</v>
      </c>
      <c r="C71" s="8">
        <f>C69*$B$3</f>
        <v>141896027.30997002</v>
      </c>
      <c r="D71" s="20"/>
      <c r="F71" s="7" t="s">
        <v>143</v>
      </c>
      <c r="G71" s="210">
        <f>-PV(6%,'2021Applications'!G65,G69,,)</f>
        <v>2322292.7457234836</v>
      </c>
      <c r="H71" s="207" t="e">
        <f>PV(#REF!,NOIBased!$H$9,-NOIBased!$H$15,,)</f>
        <v>#REF!</v>
      </c>
      <c r="K71" s="7" t="s">
        <v>67</v>
      </c>
      <c r="L71" s="8">
        <f>L69*$B$3</f>
        <v>113254179.95726162</v>
      </c>
      <c r="M71" s="8">
        <f>M69*$B$3</f>
        <v>111060712.6703341</v>
      </c>
      <c r="N71" s="20"/>
      <c r="P71" s="7" t="s">
        <v>143</v>
      </c>
      <c r="Q71" s="210">
        <f>-PV(6%,'2021Applications'!Q65,Q69,,)</f>
        <v>1464875.5242110586</v>
      </c>
      <c r="R71" s="207" t="e">
        <f>PV(#REF!,NOIBased!$H$9,-NOIBased!$H$15,,)</f>
        <v>#REF!</v>
      </c>
    </row>
    <row r="72" spans="1:18" x14ac:dyDescent="0.3">
      <c r="A72" s="7" t="s">
        <v>66</v>
      </c>
      <c r="B72" s="8">
        <f>B74-B71</f>
        <v>19645991.727773696</v>
      </c>
      <c r="C72" s="8">
        <f>C74-C71</f>
        <v>23112684.690029979</v>
      </c>
      <c r="D72" s="20"/>
      <c r="F72" s="7"/>
      <c r="G72" s="203"/>
      <c r="H72" s="204"/>
      <c r="K72" s="7" t="s">
        <v>66</v>
      </c>
      <c r="L72" s="8">
        <f>L74-L71</f>
        <v>13257678.042738378</v>
      </c>
      <c r="M72" s="8">
        <f>M74-M71</f>
        <v>15451145.329665899</v>
      </c>
      <c r="N72" s="20"/>
      <c r="P72" s="7"/>
      <c r="Q72" s="203"/>
      <c r="R72" s="204"/>
    </row>
    <row r="73" spans="1:18" x14ac:dyDescent="0.3">
      <c r="A73" s="7"/>
      <c r="B73" s="8"/>
      <c r="C73" s="8"/>
      <c r="D73" s="20"/>
      <c r="F73" s="7" t="s">
        <v>146</v>
      </c>
      <c r="G73" s="206">
        <f>G71-G67</f>
        <v>-1144400.2165327989</v>
      </c>
      <c r="H73" s="207"/>
      <c r="K73" s="7"/>
      <c r="L73" s="8"/>
      <c r="M73" s="8"/>
      <c r="N73" s="20"/>
      <c r="P73" s="7" t="s">
        <v>146</v>
      </c>
      <c r="Q73" s="206">
        <f>Q71-Q67</f>
        <v>-728591.7627164626</v>
      </c>
      <c r="R73" s="207"/>
    </row>
    <row r="74" spans="1:18" x14ac:dyDescent="0.3">
      <c r="A74" s="7" t="s">
        <v>64</v>
      </c>
      <c r="B74" s="8">
        <v>165008712</v>
      </c>
      <c r="C74" s="8">
        <v>165008712</v>
      </c>
      <c r="D74" s="20"/>
      <c r="F74" s="7"/>
      <c r="G74" s="203"/>
      <c r="H74" s="204"/>
      <c r="K74" s="7" t="s">
        <v>64</v>
      </c>
      <c r="L74" s="8">
        <v>126511858</v>
      </c>
      <c r="M74" s="8">
        <v>126511858</v>
      </c>
      <c r="N74" s="20"/>
      <c r="P74" s="7"/>
      <c r="Q74" s="203"/>
      <c r="R74" s="204"/>
    </row>
    <row r="75" spans="1:18" x14ac:dyDescent="0.3">
      <c r="A75" s="7"/>
      <c r="B75" s="8"/>
      <c r="C75" s="8"/>
      <c r="D75" s="20"/>
      <c r="F75" s="23" t="s">
        <v>148</v>
      </c>
      <c r="G75" s="211">
        <f>G73/G67</f>
        <v>-0.3301129430822079</v>
      </c>
      <c r="H75" s="212"/>
      <c r="K75" s="7"/>
      <c r="L75" s="8"/>
      <c r="M75" s="8"/>
      <c r="N75" s="20"/>
      <c r="P75" s="23" t="s">
        <v>148</v>
      </c>
      <c r="Q75" s="211">
        <f>Q73/Q67</f>
        <v>-0.33216440794839969</v>
      </c>
      <c r="R75" s="212"/>
    </row>
    <row r="76" spans="1:18" x14ac:dyDescent="0.3">
      <c r="A76" s="7" t="s">
        <v>165</v>
      </c>
      <c r="B76" s="8"/>
      <c r="C76" s="8"/>
      <c r="D76" s="44">
        <f>C72-B72</f>
        <v>3466692.9622562826</v>
      </c>
      <c r="K76" s="7" t="s">
        <v>165</v>
      </c>
      <c r="L76" s="8"/>
      <c r="M76" s="8"/>
      <c r="N76" s="44">
        <f>M72-L72</f>
        <v>2193467.2869275212</v>
      </c>
    </row>
    <row r="77" spans="1:18" x14ac:dyDescent="0.3">
      <c r="A77" s="23" t="s">
        <v>166</v>
      </c>
      <c r="B77" s="45"/>
      <c r="C77" s="45"/>
      <c r="D77" s="46">
        <f>D76/G59</f>
        <v>216668.31014101766</v>
      </c>
      <c r="K77" s="23" t="s">
        <v>166</v>
      </c>
      <c r="L77" s="45"/>
      <c r="M77" s="45"/>
      <c r="N77" s="46">
        <f>N76/Q59</f>
        <v>182788.94057729343</v>
      </c>
    </row>
  </sheetData>
  <mergeCells count="114">
    <mergeCell ref="Q72:R72"/>
    <mergeCell ref="Q73:R73"/>
    <mergeCell ref="Q74:R74"/>
    <mergeCell ref="Q75:R75"/>
    <mergeCell ref="Q64:R64"/>
    <mergeCell ref="Q65:R65"/>
    <mergeCell ref="Q66:R66"/>
    <mergeCell ref="Q67:R67"/>
    <mergeCell ref="Q68:R68"/>
    <mergeCell ref="Q69:R69"/>
    <mergeCell ref="P57:R57"/>
    <mergeCell ref="Q58:R58"/>
    <mergeCell ref="Q59:R59"/>
    <mergeCell ref="Q60:R60"/>
    <mergeCell ref="Q61:R61"/>
    <mergeCell ref="P62:P63"/>
    <mergeCell ref="Q62:R63"/>
    <mergeCell ref="G70:H70"/>
    <mergeCell ref="G71:H71"/>
    <mergeCell ref="F57:H57"/>
    <mergeCell ref="G58:H58"/>
    <mergeCell ref="G59:H59"/>
    <mergeCell ref="G60:H60"/>
    <mergeCell ref="G61:H61"/>
    <mergeCell ref="F62:F63"/>
    <mergeCell ref="G62:H63"/>
    <mergeCell ref="Q70:R70"/>
    <mergeCell ref="Q71:R71"/>
    <mergeCell ref="G72:H72"/>
    <mergeCell ref="G73:H73"/>
    <mergeCell ref="G74:H74"/>
    <mergeCell ref="G75:H75"/>
    <mergeCell ref="G64:H64"/>
    <mergeCell ref="G65:H65"/>
    <mergeCell ref="G66:H66"/>
    <mergeCell ref="G67:H67"/>
    <mergeCell ref="G68:H68"/>
    <mergeCell ref="G69:H69"/>
    <mergeCell ref="Q45:R45"/>
    <mergeCell ref="Q46:R46"/>
    <mergeCell ref="Q47:R47"/>
    <mergeCell ref="Q48:R48"/>
    <mergeCell ref="Q49:R49"/>
    <mergeCell ref="Q50:R50"/>
    <mergeCell ref="Q39:R39"/>
    <mergeCell ref="Q40:R40"/>
    <mergeCell ref="Q41:R41"/>
    <mergeCell ref="Q42:R42"/>
    <mergeCell ref="Q43:R43"/>
    <mergeCell ref="Q44:R44"/>
    <mergeCell ref="P32:R32"/>
    <mergeCell ref="Q33:R33"/>
    <mergeCell ref="Q34:R34"/>
    <mergeCell ref="Q35:R35"/>
    <mergeCell ref="Q36:R36"/>
    <mergeCell ref="P37:P38"/>
    <mergeCell ref="Q37:R38"/>
    <mergeCell ref="Q20:R20"/>
    <mergeCell ref="Q21:R21"/>
    <mergeCell ref="Q22:R22"/>
    <mergeCell ref="Q23:R23"/>
    <mergeCell ref="Q24:R24"/>
    <mergeCell ref="Q25:R25"/>
    <mergeCell ref="Q14:R14"/>
    <mergeCell ref="Q15:R15"/>
    <mergeCell ref="Q16:R16"/>
    <mergeCell ref="Q17:R17"/>
    <mergeCell ref="Q18:R18"/>
    <mergeCell ref="Q19:R19"/>
    <mergeCell ref="P7:R7"/>
    <mergeCell ref="Q8:R8"/>
    <mergeCell ref="Q9:R9"/>
    <mergeCell ref="Q10:R10"/>
    <mergeCell ref="Q11:R11"/>
    <mergeCell ref="P12:P13"/>
    <mergeCell ref="Q12:R13"/>
    <mergeCell ref="G45:H45"/>
    <mergeCell ref="G46:H46"/>
    <mergeCell ref="G47:H47"/>
    <mergeCell ref="G48:H48"/>
    <mergeCell ref="G49:H49"/>
    <mergeCell ref="G50:H50"/>
    <mergeCell ref="G39:H39"/>
    <mergeCell ref="G40:H40"/>
    <mergeCell ref="G41:H41"/>
    <mergeCell ref="G42:H42"/>
    <mergeCell ref="G43:H43"/>
    <mergeCell ref="G44:H44"/>
    <mergeCell ref="F32:H32"/>
    <mergeCell ref="G33:H33"/>
    <mergeCell ref="G34:H34"/>
    <mergeCell ref="G35:H35"/>
    <mergeCell ref="G36:H36"/>
    <mergeCell ref="F37:F38"/>
    <mergeCell ref="G37:H38"/>
    <mergeCell ref="G20:H20"/>
    <mergeCell ref="G21:H21"/>
    <mergeCell ref="G22:H22"/>
    <mergeCell ref="G23:H23"/>
    <mergeCell ref="G24:H24"/>
    <mergeCell ref="G25:H25"/>
    <mergeCell ref="G14:H14"/>
    <mergeCell ref="G15:H15"/>
    <mergeCell ref="G16:H16"/>
    <mergeCell ref="G17:H17"/>
    <mergeCell ref="G18:H18"/>
    <mergeCell ref="G19:H19"/>
    <mergeCell ref="F7:H7"/>
    <mergeCell ref="G8:H8"/>
    <mergeCell ref="G9:H9"/>
    <mergeCell ref="G10:H10"/>
    <mergeCell ref="G11:H11"/>
    <mergeCell ref="F12:F13"/>
    <mergeCell ref="G12:H13"/>
  </mergeCells>
  <pageMargins left="0.7" right="0.7" top="0.75" bottom="0.75" header="0.3" footer="0.3"/>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p:properties xmlns:p="http://schemas.microsoft.com/office/2006/metadata/properties" xmlns:xsi="http://www.w3.org/2001/XMLSchema-instance" xmlns:pc="http://schemas.microsoft.com/office/infopath/2007/PartnerControls">
  <documentManagement>
    <SharedWithUsers xmlns="64d0d070-2d72-4ef9-ad55-8d68640bf102">
      <UserInfo>
        <DisplayName>Lim, Rolanda</DisplayName>
        <AccountId>14</AccountId>
        <AccountType/>
      </UserInfo>
    </SharedWithUsers>
  </documentManagement>
</p:properties>
</file>

<file path=customXml/item2.xml><?xml version="1.0" encoding="utf-8"?>
<ct:contentTypeSchema xmlns:ct="http://schemas.microsoft.com/office/2006/metadata/contentType" xmlns:ma="http://schemas.microsoft.com/office/2006/metadata/properties/metaAttributes" ct:_="" ma:_="" ma:contentTypeName="Document" ma:contentTypeID="0x010100ECA5087418C767498FFBB67AF9C238F6" ma:contentTypeVersion="12" ma:contentTypeDescription="Create a new document." ma:contentTypeScope="" ma:versionID="c2b4f9a4b323f12b0fcbbbe686087009">
  <xsd:schema xmlns:xsd="http://www.w3.org/2001/XMLSchema" xmlns:xs="http://www.w3.org/2001/XMLSchema" xmlns:p="http://schemas.microsoft.com/office/2006/metadata/properties" xmlns:ns2="c110a3fe-b160-4550-a04c-7bfc33616840" xmlns:ns3="64d0d070-2d72-4ef9-ad55-8d68640bf102" targetNamespace="http://schemas.microsoft.com/office/2006/metadata/properties" ma:root="true" ma:fieldsID="1eaf8fb217ae1016e8faa19361df17f5" ns2:_="" ns3:_="">
    <xsd:import namespace="c110a3fe-b160-4550-a04c-7bfc33616840"/>
    <xsd:import namespace="64d0d070-2d72-4ef9-ad55-8d68640bf102"/>
    <xsd:element name="properties">
      <xsd:complexType>
        <xsd:sequence>
          <xsd:element name="documentManagement">
            <xsd:complexType>
              <xsd:all>
                <xsd:element ref="ns2:MediaServiceMetadata" minOccurs="0"/>
                <xsd:element ref="ns2:MediaServiceFastMetadata" minOccurs="0"/>
                <xsd:element ref="ns2:MediaServiceAutoKeyPoints" minOccurs="0"/>
                <xsd:element ref="ns2:MediaServiceKeyPoints" minOccurs="0"/>
                <xsd:element ref="ns3:SharedWithUsers" minOccurs="0"/>
                <xsd:element ref="ns3:SharedWithDetails" minOccurs="0"/>
                <xsd:element ref="ns2:MediaServiceDateTaken" minOccurs="0"/>
                <xsd:element ref="ns2:MediaLengthInSeconds" minOccurs="0"/>
                <xsd:element ref="ns2:MediaServiceSearchProperties" minOccurs="0"/>
                <xsd:element ref="ns2:MediaServiceObjectDetectorVersions" minOccurs="0"/>
                <xsd:element ref="ns2:MediaServiceGenerationTime" minOccurs="0"/>
                <xsd:element ref="ns2:MediaServiceEventHashCode"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c110a3fe-b160-4550-a04c-7bfc33616840"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KeyPoints" ma:index="10" nillable="true" ma:displayName="MediaServiceAutoKeyPoints" ma:hidden="true" ma:internalName="MediaServiceAutoKeyPoints" ma:readOnly="true">
      <xsd:simpleType>
        <xsd:restriction base="dms:Note"/>
      </xsd:simpleType>
    </xsd:element>
    <xsd:element name="MediaServiceKeyPoints" ma:index="11" nillable="true" ma:displayName="KeyPoints" ma:internalName="MediaServiceKeyPoints" ma:readOnly="true">
      <xsd:simpleType>
        <xsd:restriction base="dms:Note">
          <xsd:maxLength value="255"/>
        </xsd:restriction>
      </xsd:simpleType>
    </xsd:element>
    <xsd:element name="MediaServiceDateTaken" ma:index="14" nillable="true" ma:displayName="MediaServiceDateTaken" ma:hidden="true" ma:indexed="true" ma:internalName="MediaServiceDateTaken" ma:readOnly="true">
      <xsd:simpleType>
        <xsd:restriction base="dms:Text"/>
      </xsd:simpleType>
    </xsd:element>
    <xsd:element name="MediaLengthInSeconds" ma:index="15" nillable="true" ma:displayName="MediaLengthInSeconds" ma:hidden="true" ma:internalName="MediaLengthInSeconds" ma:readOnly="true">
      <xsd:simpleType>
        <xsd:restriction base="dms:Unknown"/>
      </xsd:simpleType>
    </xsd:element>
    <xsd:element name="MediaServiceSearchProperties" ma:index="16" nillable="true" ma:displayName="MediaServiceSearchProperties" ma:hidden="true" ma:internalName="MediaServiceSearchProperties" ma:readOnly="true">
      <xsd:simpleType>
        <xsd:restriction base="dms:Note"/>
      </xsd:simpleType>
    </xsd:element>
    <xsd:element name="MediaServiceObjectDetectorVersions" ma:index="17" nillable="true" ma:displayName="MediaServiceObjectDetectorVersions" ma:hidden="true" ma:indexed="true" ma:internalName="MediaServiceObjectDetectorVersions" ma:readOnly="true">
      <xsd:simpleType>
        <xsd:restriction base="dms:Text"/>
      </xsd:simpleType>
    </xsd:element>
    <xsd:element name="MediaServiceGenerationTime" ma:index="18" nillable="true" ma:displayName="MediaServiceGenerationTime" ma:hidden="true" ma:internalName="MediaServiceGenerationTime" ma:readOnly="true">
      <xsd:simpleType>
        <xsd:restriction base="dms:Text"/>
      </xsd:simpleType>
    </xsd:element>
    <xsd:element name="MediaServiceEventHashCode" ma:index="19" nillable="true" ma:displayName="MediaServiceEventHashCode" ma:hidden="true" ma:internalName="MediaServiceEventHashCode" ma:readOnly="true">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64d0d070-2d72-4ef9-ad55-8d68640bf102" elementFormDefault="qualified">
    <xsd:import namespace="http://schemas.microsoft.com/office/2006/documentManagement/types"/>
    <xsd:import namespace="http://schemas.microsoft.com/office/infopath/2007/PartnerControls"/>
    <xsd:element name="SharedWithUsers" ma:index="12" nillable="true" ma:displayName="Shared With"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3" nillable="true" ma:displayName="Shared With Details" ma:internalName="SharedWithDetails" ma:readOnly="true">
      <xsd:simpleType>
        <xsd:restriction base="dms:Note">
          <xsd:maxLength value="255"/>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3.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7721CC9C-D14C-4FBB-B64A-E1D54CFAF75B}">
  <ds:schemaRefs>
    <ds:schemaRef ds:uri="http://schemas.microsoft.com/office/2006/metadata/properties"/>
    <ds:schemaRef ds:uri="http://schemas.microsoft.com/office/infopath/2007/PartnerControls"/>
    <ds:schemaRef ds:uri="64d0d070-2d72-4ef9-ad55-8d68640bf102"/>
  </ds:schemaRefs>
</ds:datastoreItem>
</file>

<file path=customXml/itemProps2.xml><?xml version="1.0" encoding="utf-8"?>
<ds:datastoreItem xmlns:ds="http://schemas.openxmlformats.org/officeDocument/2006/customXml" ds:itemID="{FC895DCD-518D-4383-B5C4-B7510CE9E885}">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c110a3fe-b160-4550-a04c-7bfc33616840"/>
    <ds:schemaRef ds:uri="64d0d070-2d72-4ef9-ad55-8d68640bf102"/>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3.xml><?xml version="1.0" encoding="utf-8"?>
<ds:datastoreItem xmlns:ds="http://schemas.openxmlformats.org/officeDocument/2006/customXml" ds:itemID="{CC87A4B7-9070-47E6-A7E8-9926DB25F23F}">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7</vt:i4>
      </vt:variant>
    </vt:vector>
  </HeadingPairs>
  <TitlesOfParts>
    <vt:vector size="7" baseType="lpstr">
      <vt:lpstr>Overview</vt:lpstr>
      <vt:lpstr>1. Application Info</vt:lpstr>
      <vt:lpstr>2. Capital Budget </vt:lpstr>
      <vt:lpstr>3. Proposed Rents</vt:lpstr>
      <vt:lpstr>4. Operating Budget</vt:lpstr>
      <vt:lpstr>NOIBased</vt:lpstr>
      <vt:lpstr>2021Applications</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Lim, Rolanda</dc:creator>
  <cp:keywords/>
  <dc:description/>
  <cp:lastModifiedBy>Claire de Souza</cp:lastModifiedBy>
  <cp:revision/>
  <dcterms:created xsi:type="dcterms:W3CDTF">2022-07-08T14:53:27Z</dcterms:created>
  <dcterms:modified xsi:type="dcterms:W3CDTF">2026-07-07T20:21:41Z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0x010100ECA5087418C767498FFBB67AF9C238F6</vt:lpwstr>
  </property>
  <property fmtid="{D5CDD505-2E9C-101B-9397-08002B2CF9AE}" pid="3" name="SIZADocumentType">
    <vt:lpwstr/>
  </property>
  <property fmtid="{D5CDD505-2E9C-101B-9397-08002B2CF9AE}" pid="4" name="SIZAService">
    <vt:lpwstr/>
  </property>
  <property fmtid="{D5CDD505-2E9C-101B-9397-08002B2CF9AE}" pid="5" name="SIZADivision">
    <vt:lpwstr>7;#Housing Development Office|b3d8b0e0-5c86-429e-aca3-ab0dca2ff8dd</vt:lpwstr>
  </property>
  <property fmtid="{D5CDD505-2E9C-101B-9397-08002B2CF9AE}" pid="6" name="MediaServiceImageTags">
    <vt:lpwstr/>
  </property>
  <property fmtid="{D5CDD505-2E9C-101B-9397-08002B2CF9AE}" pid="7" name="SIZASection">
    <vt:lpwstr>6;#Housing Development Office|5c6c2b97-4f2a-44a1-bc2e-e5f8b59a8c4f</vt:lpwstr>
  </property>
  <property fmtid="{D5CDD505-2E9C-101B-9397-08002B2CF9AE}" pid="8" name="TaxCatchAll">
    <vt:lpwstr>6;#Housing Development Office|5c6c2b97-4f2a-44a1-bc2e-e5f8b59a8c4f;#4;#Human Services|118fdf37-3eb0-4f3d-9794-08c6dc12769c;#7;#Housing Development Office|b3d8b0e0-5c86-429e-aca3-ab0dca2ff8dd</vt:lpwstr>
  </property>
  <property fmtid="{D5CDD505-2E9C-101B-9397-08002B2CF9AE}" pid="9" name="SIZADepartment">
    <vt:lpwstr>4;#Human Services|118fdf37-3eb0-4f3d-9794-08c6dc12769c</vt:lpwstr>
  </property>
  <property fmtid="{D5CDD505-2E9C-101B-9397-08002B2CF9AE}" pid="10" name="SIZADocumentSubType">
    <vt:lpwstr/>
  </property>
  <property fmtid="{D5CDD505-2E9C-101B-9397-08002B2CF9AE}" pid="11" name="SIZAKeywords">
    <vt:lpwstr/>
  </property>
  <property fmtid="{D5CDD505-2E9C-101B-9397-08002B2CF9AE}" pid="12" name="SIZARecordClassification">
    <vt:lpwstr/>
  </property>
</Properties>
</file>