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S:\D-DEV-PLA\D04 Residential Development\PLNING\Affordable Housing\Affordable Housing Master Plan - Implementation\Municipal Capital Facility By-law\Program Materials\Project Information Spreadsheet\"/>
    </mc:Choice>
  </mc:AlternateContent>
  <xr:revisionPtr revIDLastSave="0" documentId="13_ncr:1_{7A9C8BA9-3445-4E05-A1E8-0445C37A5B72}" xr6:coauthVersionLast="47" xr6:coauthVersionMax="47" xr10:uidLastSave="{00000000-0000-0000-0000-000000000000}"/>
  <bookViews>
    <workbookView xWindow="-28920" yWindow="-2235" windowWidth="29040" windowHeight="15720" xr2:uid="{A5DAC715-DF4E-4548-A5C8-645D5AEF8810}"/>
  </bookViews>
  <sheets>
    <sheet name="1. Application Info" sheetId="3" r:id="rId1"/>
    <sheet name="2. Capital Budget " sheetId="11" r:id="rId2"/>
    <sheet name="3. Proposed Rents" sheetId="14" r:id="rId3"/>
    <sheet name="4. Operating Budget" sheetId="12" r:id="rId4"/>
    <sheet name="NOIBased" sheetId="7" state="hidden" r:id="rId5"/>
    <sheet name="2021Applications" sheetId="10" state="hidden" r:id="rId6"/>
  </sheets>
  <definedNames>
    <definedName name="Parkland" localSheetId="3" hidden="1">{#N/A,#N/A,TRUE,"Summary";#N/A,#N/A,TRUE,"Large Rev";#N/A,#N/A,TRUE,"Mid Rev";#N/A,#N/A,TRUE,"Small Rev";#N/A,#N/A,TRUE,"Stud Rev";#N/A,#N/A,TRUE,"Salaries";#N/A,#N/A,TRUE,"Adm &amp; Fin"}</definedName>
    <definedName name="Parkland" hidden="1">{#N/A,#N/A,TRUE,"Summary";#N/A,#N/A,TRUE,"Large Rev";#N/A,#N/A,TRUE,"Mid Rev";#N/A,#N/A,TRUE,"Small Rev";#N/A,#N/A,TRUE,"Stud Rev";#N/A,#N/A,TRUE,"Salaries";#N/A,#N/A,TRUE,"Adm &amp; Fin"}</definedName>
    <definedName name="wrn.Sacramento._.Operating._.Projections." localSheetId="3" hidden="1">{#N/A,#N/A,TRUE,"Summary";#N/A,#N/A,TRUE,"Large Rev";#N/A,#N/A,TRUE,"Mid Rev";#N/A,#N/A,TRUE,"Small Rev";#N/A,#N/A,TRUE,"Stud Rev";#N/A,#N/A,TRUE,"Salaries";#N/A,#N/A,TRUE,"Adm &amp; Fin"}</definedName>
    <definedName name="wrn.Sacramento._.Operating._.Projections." hidden="1">{#N/A,#N/A,TRUE,"Summary";#N/A,#N/A,TRUE,"Large Rev";#N/A,#N/A,TRUE,"Mid Rev";#N/A,#N/A,TRUE,"Small Rev";#N/A,#N/A,TRUE,"Stud Rev";#N/A,#N/A,TRUE,"Salaries";#N/A,#N/A,TRUE,"Adm &amp; Fin"}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4" l="1"/>
  <c r="B5" i="12"/>
  <c r="B6" i="12"/>
  <c r="B7" i="12"/>
  <c r="B8" i="12"/>
  <c r="B9" i="12"/>
  <c r="B11" i="11"/>
  <c r="B7" i="11" s="1"/>
  <c r="B25" i="11" s="1"/>
  <c r="B32" i="11" s="1"/>
  <c r="B4" i="12" l="1"/>
  <c r="B26" i="14"/>
  <c r="B25" i="14"/>
  <c r="B27" i="14"/>
  <c r="B24" i="14"/>
  <c r="B16" i="14" l="1"/>
  <c r="C16" i="14" s="1"/>
  <c r="D16" i="14" l="1"/>
  <c r="B40" i="11" l="1"/>
  <c r="B42" i="11" s="1"/>
  <c r="B46" i="11" l="1"/>
  <c r="C10" i="14"/>
  <c r="D10" i="14"/>
  <c r="B23" i="14"/>
  <c r="C25" i="14" s="1"/>
  <c r="C24" i="14" l="1"/>
  <c r="C27" i="14"/>
  <c r="C26" i="14"/>
  <c r="M71" i="10" l="1"/>
  <c r="L71" i="10"/>
  <c r="M69" i="10"/>
  <c r="L69" i="10"/>
  <c r="M46" i="10"/>
  <c r="L46" i="10"/>
  <c r="M44" i="10"/>
  <c r="L44" i="10"/>
  <c r="M21" i="10"/>
  <c r="L21" i="10"/>
  <c r="M19" i="10"/>
  <c r="L19" i="10"/>
  <c r="C71" i="10"/>
  <c r="C46" i="10"/>
  <c r="B71" i="10"/>
  <c r="B46" i="10"/>
  <c r="C44" i="10"/>
  <c r="B44" i="10"/>
  <c r="M62" i="10"/>
  <c r="L62" i="10"/>
  <c r="C62" i="10"/>
  <c r="B62" i="10"/>
  <c r="R69" i="10" l="1"/>
  <c r="Q69" i="10"/>
  <c r="Q71" i="10" s="1"/>
  <c r="M63" i="10"/>
  <c r="M67" i="10" s="1"/>
  <c r="L63" i="10"/>
  <c r="L67" i="10" s="1"/>
  <c r="C63" i="10"/>
  <c r="M72" i="10" l="1"/>
  <c r="L72" i="10"/>
  <c r="N76" i="10" l="1"/>
  <c r="N77" i="10" s="1"/>
  <c r="Q67" i="10" l="1"/>
  <c r="Q73" i="10" s="1"/>
  <c r="Q75" i="10" s="1"/>
  <c r="M37" i="10" l="1"/>
  <c r="L37" i="10"/>
  <c r="M12" i="10" l="1"/>
  <c r="L12" i="10"/>
  <c r="H69" i="10" l="1"/>
  <c r="G69" i="10"/>
  <c r="G71" i="10" s="1"/>
  <c r="C67" i="10"/>
  <c r="C69" i="10" s="1"/>
  <c r="B63" i="10"/>
  <c r="B67" i="10" s="1"/>
  <c r="B69" i="10" s="1"/>
  <c r="B72" i="10" s="1"/>
  <c r="R44" i="10"/>
  <c r="M38" i="10"/>
  <c r="M42" i="10" s="1"/>
  <c r="M47" i="10" s="1"/>
  <c r="L38" i="10"/>
  <c r="L42" i="10" s="1"/>
  <c r="L47" i="10" s="1"/>
  <c r="R19" i="10"/>
  <c r="Q19" i="10"/>
  <c r="Q21" i="10" s="1"/>
  <c r="M13" i="10"/>
  <c r="M17" i="10" s="1"/>
  <c r="L13" i="10"/>
  <c r="L17" i="10" s="1"/>
  <c r="G44" i="10"/>
  <c r="G46" i="10" s="1"/>
  <c r="C37" i="10"/>
  <c r="B37" i="10"/>
  <c r="H44" i="10"/>
  <c r="C38" i="10"/>
  <c r="C42" i="10" s="1"/>
  <c r="B38" i="10"/>
  <c r="B42" i="10" s="1"/>
  <c r="B47" i="10" s="1"/>
  <c r="B12" i="10"/>
  <c r="B13" i="10" s="1"/>
  <c r="B17" i="10" s="1"/>
  <c r="C12" i="10"/>
  <c r="C13" i="10" s="1"/>
  <c r="C17" i="10" s="1"/>
  <c r="H19" i="10"/>
  <c r="G12" i="10"/>
  <c r="G11" i="10"/>
  <c r="C29" i="7"/>
  <c r="C30" i="7" s="1"/>
  <c r="B6" i="7"/>
  <c r="B7" i="7" s="1"/>
  <c r="F41" i="7"/>
  <c r="B29" i="7"/>
  <c r="B30" i="7" s="1"/>
  <c r="B31" i="7" s="1"/>
  <c r="B33" i="7" s="1"/>
  <c r="H29" i="7"/>
  <c r="L13" i="7"/>
  <c r="B20" i="7"/>
  <c r="K13" i="7" s="1"/>
  <c r="K16" i="7" s="1"/>
  <c r="G19" i="10" l="1"/>
  <c r="G21" i="10" s="1"/>
  <c r="B35" i="7"/>
  <c r="B37" i="7" s="1"/>
  <c r="B39" i="7" s="1"/>
  <c r="B41" i="7" s="1"/>
  <c r="B19" i="10"/>
  <c r="B21" i="10" s="1"/>
  <c r="B22" i="10" s="1"/>
  <c r="C19" i="10"/>
  <c r="C21" i="10" s="1"/>
  <c r="C22" i="10" s="1"/>
  <c r="M22" i="10"/>
  <c r="C72" i="10"/>
  <c r="D76" i="10" s="1"/>
  <c r="D77" i="10" s="1"/>
  <c r="L22" i="10"/>
  <c r="C47" i="10"/>
  <c r="D51" i="10" s="1"/>
  <c r="G42" i="10" s="1"/>
  <c r="G48" i="10" s="1"/>
  <c r="G50" i="10" s="1"/>
  <c r="Q44" i="10"/>
  <c r="Q46" i="10" s="1"/>
  <c r="N51" i="10"/>
  <c r="C31" i="7"/>
  <c r="C33" i="7" s="1"/>
  <c r="I15" i="7"/>
  <c r="I17" i="7" s="1"/>
  <c r="E16" i="7"/>
  <c r="D16" i="7"/>
  <c r="H6" i="7"/>
  <c r="H5" i="7"/>
  <c r="B18" i="7"/>
  <c r="N26" i="10" l="1"/>
  <c r="Q17" i="10" s="1"/>
  <c r="G67" i="10"/>
  <c r="G73" i="10" s="1"/>
  <c r="G75" i="10" s="1"/>
  <c r="N52" i="10"/>
  <c r="Q42" i="10"/>
  <c r="Q48" i="10" s="1"/>
  <c r="Q50" i="10" s="1"/>
  <c r="D52" i="10"/>
  <c r="C35" i="7"/>
  <c r="C37" i="7" s="1"/>
  <c r="C39" i="7" s="1"/>
  <c r="C41" i="7" s="1"/>
  <c r="D13" i="7"/>
  <c r="H28" i="7" s="1"/>
  <c r="H31" i="7" s="1"/>
  <c r="E13" i="7"/>
  <c r="B8" i="7"/>
  <c r="N27" i="10" l="1"/>
  <c r="Q23" i="10"/>
  <c r="Q25" i="10" s="1"/>
  <c r="I28" i="7"/>
  <c r="I31" i="7" s="1"/>
  <c r="I33" i="7" s="1"/>
  <c r="E29" i="7"/>
  <c r="E32" i="7" l="1"/>
  <c r="E33" i="7" s="1"/>
  <c r="E30" i="7"/>
  <c r="H3" i="7" l="1"/>
  <c r="H15" i="7" s="1"/>
  <c r="R71" i="10" l="1"/>
  <c r="H71" i="10"/>
  <c r="H21" i="10"/>
  <c r="R46" i="10"/>
  <c r="R21" i="10"/>
  <c r="H46" i="10"/>
  <c r="H17" i="7"/>
  <c r="B10" i="12" l="1"/>
  <c r="B9" i="7" a="1"/>
  <c r="B9" i="7" s="1"/>
  <c r="B10" i="7" s="1"/>
  <c r="B12" i="7" s="1"/>
  <c r="B14" i="7" s="1"/>
  <c r="B23" i="7" s="1"/>
  <c r="B13" i="12" l="1"/>
  <c r="B18" i="12" s="1"/>
  <c r="B16" i="12" l="1"/>
  <c r="B4" i="7"/>
  <c r="B23" i="12" l="1"/>
  <c r="B24" i="12"/>
  <c r="B24" i="7"/>
  <c r="B19" i="7"/>
  <c r="B17" i="7" s="1"/>
  <c r="E17" i="7" l="1"/>
  <c r="E14" i="7" s="1"/>
  <c r="E26" i="7" s="1"/>
  <c r="D17" i="7"/>
  <c r="D14" i="7" s="1"/>
  <c r="B16" i="7"/>
  <c r="D26" i="7" l="1"/>
  <c r="H13" i="7" s="1"/>
  <c r="D23" i="7"/>
  <c r="D24" i="7" s="1"/>
  <c r="D26" i="10"/>
  <c r="D27" i="10" s="1"/>
  <c r="E23" i="7"/>
  <c r="E24" i="7" s="1"/>
  <c r="G17" i="10" l="1"/>
  <c r="G23" i="10" s="1"/>
  <c r="G25" i="10" s="1"/>
  <c r="I13" i="7"/>
  <c r="H19" i="7" l="1"/>
  <c r="H21" i="7" s="1"/>
  <c r="I19" i="7"/>
  <c r="I21" i="7" s="1"/>
  <c r="B3" i="7" l="1"/>
  <c r="C43" i="7" l="1"/>
  <c r="C45" i="7" s="1"/>
  <c r="B43" i="7"/>
  <c r="B45" i="7" s="1"/>
  <c r="D45" i="7" l="1"/>
  <c r="D47"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tc={B8FF6375-4870-4CF0-8D38-B02ED58E4CBF}</author>
  </authors>
  <commentList>
    <comment ref="A7" authorId="0" shapeId="0" xr:uid="{B8FF6375-4870-4CF0-8D38-B02ED58E4CBF}">
      <text>
        <t>[Threaded comment]
Your version of Excel allows you to read this threaded comment; however, any edits to it will get removed if the file is opened in a newer version of Excel. Learn more: https://go.microsoft.com/fwlink/?linkid=870924
Comment:
    Vacancy Loss also applies to Misc. Income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<sst xmlns="http://schemas.openxmlformats.org/spreadsheetml/2006/main" count="356" uniqueCount="185">
  <si>
    <t>1. Application Information</t>
  </si>
  <si>
    <t> </t>
  </si>
  <si>
    <t>Fillable</t>
  </si>
  <si>
    <t>General Information</t>
  </si>
  <si>
    <t xml:space="preserve">Calculation - Office Use Only </t>
  </si>
  <si>
    <t>Applicant Information</t>
  </si>
  <si>
    <t>Project Description</t>
  </si>
  <si>
    <t>Mississauga</t>
  </si>
  <si>
    <t>Brampton</t>
  </si>
  <si>
    <t>Caledon</t>
  </si>
  <si>
    <t>Municipal Address</t>
  </si>
  <si>
    <t>Simple</t>
  </si>
  <si>
    <t>Moderately Complex</t>
  </si>
  <si>
    <t>Very Complex</t>
  </si>
  <si>
    <t>% of Gross Floor Area of Non-Residential uses</t>
  </si>
  <si>
    <t>Parking Solutions</t>
  </si>
  <si>
    <t>Total Number of Parking Spaces to be Constructed</t>
  </si>
  <si>
    <t>Parking configuration (indicate if surface parking, underground parking, structured parking, or combination thereof)</t>
  </si>
  <si>
    <t>Other Funding Sources</t>
  </si>
  <si>
    <t>3. Capital Budget and Revenue</t>
  </si>
  <si>
    <t>Capital Budget</t>
  </si>
  <si>
    <t>Budget ($)</t>
  </si>
  <si>
    <t>Notes (please include description of assumptions used to arrive at costs and any additional explanatory information).</t>
  </si>
  <si>
    <t>COSTS</t>
  </si>
  <si>
    <t>Land</t>
  </si>
  <si>
    <t>Estimated value of the land (before building permit is issued) per above grade GFA.</t>
  </si>
  <si>
    <t>Hard</t>
  </si>
  <si>
    <t>Soft</t>
  </si>
  <si>
    <t>Financing Costs</t>
  </si>
  <si>
    <t>Fees and Permits</t>
  </si>
  <si>
    <r>
      <rPr>
        <b/>
        <sz val="10"/>
        <color rgb="FF000000"/>
        <rFont val="Calibri"/>
        <family val="2"/>
      </rPr>
      <t>Note:</t>
    </r>
    <r>
      <rPr>
        <sz val="10"/>
        <color rgb="FF000000"/>
        <rFont val="Calibri"/>
        <family val="2"/>
      </rPr>
      <t xml:space="preserve"> In this section, please provide anticipated fees </t>
    </r>
    <r>
      <rPr>
        <b/>
        <u/>
        <sz val="10"/>
        <color rgb="FF000000"/>
        <rFont val="Calibri"/>
        <family val="2"/>
      </rPr>
      <t xml:space="preserve">before </t>
    </r>
    <r>
      <rPr>
        <sz val="10"/>
        <color rgb="FF000000"/>
        <rFont val="Calibri"/>
        <family val="2"/>
      </rPr>
      <t xml:space="preserve">applying any discounts/exemptions for which the project may be eligible under recent </t>
    </r>
    <r>
      <rPr>
        <i/>
        <sz val="10"/>
        <color rgb="FF000000"/>
        <rFont val="Calibri"/>
        <family val="2"/>
      </rPr>
      <t xml:space="preserve">DC Act </t>
    </r>
    <r>
      <rPr>
        <sz val="10"/>
        <color rgb="FF000000"/>
        <rFont val="Calibri"/>
        <family val="2"/>
      </rPr>
      <t xml:space="preserve">changes through the </t>
    </r>
    <r>
      <rPr>
        <i/>
        <sz val="10"/>
        <color rgb="FF000000"/>
        <rFont val="Calibri"/>
        <family val="2"/>
      </rPr>
      <t>More Homes Built Faster Act, 2022</t>
    </r>
    <r>
      <rPr>
        <sz val="10"/>
        <color rgb="FF000000"/>
        <rFont val="Calibri"/>
        <family val="2"/>
      </rPr>
      <t xml:space="preserve"> (Bill 23). 
i.e., DO NOT include any discount in development charges based on unit type for rental housing; or potential exemptions from development charges, parkland requirements, community benefits charges for units that meet the </t>
    </r>
    <r>
      <rPr>
        <i/>
        <sz val="10"/>
        <color rgb="FF000000"/>
        <rFont val="Calibri"/>
        <family val="2"/>
      </rPr>
      <t>DC Act</t>
    </r>
    <r>
      <rPr>
        <sz val="10"/>
        <color rgb="FF000000"/>
        <rFont val="Calibri"/>
        <family val="2"/>
      </rPr>
      <t xml:space="preserve"> definition of "affordable residential unit" (not yet in force - estimate may be required)</t>
    </r>
  </si>
  <si>
    <t>Development Charges - County of Simcoe (excluding any discounts)</t>
  </si>
  <si>
    <t>Development Charges - Town of Collingwood (excluding any discounts)</t>
  </si>
  <si>
    <t>Development Charges - Education</t>
  </si>
  <si>
    <t>Planning Application Fees</t>
  </si>
  <si>
    <t>Building Permit Application Fees</t>
  </si>
  <si>
    <t>Furniture, Fixtures and Equipment</t>
  </si>
  <si>
    <t>Marketing and Advertising</t>
  </si>
  <si>
    <t>Other Soft Costs (specify in notes)</t>
  </si>
  <si>
    <t>Contingency</t>
  </si>
  <si>
    <t>Other Costs (please describe)</t>
  </si>
  <si>
    <t>Profit</t>
  </si>
  <si>
    <t>Total Development Cost before exemptions</t>
  </si>
  <si>
    <r>
      <rPr>
        <b/>
        <sz val="10"/>
        <color rgb="FF000000"/>
        <rFont val="Calibri"/>
        <family val="2"/>
      </rPr>
      <t>Note:</t>
    </r>
    <r>
      <rPr>
        <sz val="10"/>
        <color rgb="FF000000"/>
        <rFont val="Calibri"/>
        <family val="2"/>
      </rPr>
      <t xml:space="preserve"> In this section, please provide the anticipated discounts/exemptions from fees for which the project may be eligible under recent </t>
    </r>
    <r>
      <rPr>
        <i/>
        <sz val="10"/>
        <color rgb="FF000000"/>
        <rFont val="Calibri"/>
        <family val="2"/>
      </rPr>
      <t>DC Act</t>
    </r>
    <r>
      <rPr>
        <sz val="10"/>
        <color rgb="FF000000"/>
        <rFont val="Calibri"/>
        <family val="2"/>
      </rPr>
      <t xml:space="preserve"> changes through the more </t>
    </r>
    <r>
      <rPr>
        <i/>
        <sz val="10"/>
        <color rgb="FF000000"/>
        <rFont val="Calibri"/>
        <family val="2"/>
      </rPr>
      <t>Homes Built Faster Act, 2022</t>
    </r>
    <r>
      <rPr>
        <sz val="10"/>
        <color rgb="FF000000"/>
        <rFont val="Calibri"/>
        <family val="2"/>
      </rPr>
      <t xml:space="preserve"> (Bill 23)  (not all provisions in force - estimate may be required)</t>
    </r>
  </si>
  <si>
    <r>
      <rPr>
        <sz val="11"/>
        <color rgb="FF000000"/>
        <rFont val="Calibri"/>
        <family val="2"/>
      </rPr>
      <t xml:space="preserve">Anticipated DC exemptions for units that meet the </t>
    </r>
    <r>
      <rPr>
        <i/>
        <sz val="11"/>
        <color rgb="FF000000"/>
        <rFont val="Calibri"/>
        <family val="2"/>
      </rPr>
      <t>DC Act</t>
    </r>
    <r>
      <rPr>
        <sz val="11"/>
        <color rgb="FF000000"/>
        <rFont val="Calibri"/>
        <family val="2"/>
      </rPr>
      <t xml:space="preserve"> definition of "affordable residential unit" (if applicable)</t>
    </r>
  </si>
  <si>
    <t>Other Rebates and Waivers (please describe)</t>
  </si>
  <si>
    <t>Total Development Cost</t>
  </si>
  <si>
    <t>SOURCES OF FUNDING</t>
  </si>
  <si>
    <t>Equity</t>
  </si>
  <si>
    <t>Construction Loan</t>
  </si>
  <si>
    <t>Other Government Funding (if applicable)</t>
  </si>
  <si>
    <t>Other Private Funding (if applicable)</t>
  </si>
  <si>
    <t>Total Sources of Funding</t>
  </si>
  <si>
    <t>Check: Total Development Cost = Total Sources of Funding, if "No", please explain in notes</t>
  </si>
  <si>
    <t>INCENTIVE REQUEST</t>
  </si>
  <si>
    <t>Lump Sum</t>
  </si>
  <si>
    <t>Per Affordable Unit</t>
  </si>
  <si>
    <t>3. Proposed Rents</t>
  </si>
  <si>
    <t>Unit Mix and Revenue Information</t>
  </si>
  <si>
    <t xml:space="preserve">Unit Type </t>
  </si>
  <si>
    <t>Number of Units</t>
  </si>
  <si>
    <t>Average Unit Size 
(square feet)</t>
  </si>
  <si>
    <t>Proposed Monthly Rent</t>
  </si>
  <si>
    <t>Maximum Rent for Unit Type</t>
  </si>
  <si>
    <t>MMR Information (2022)</t>
  </si>
  <si>
    <t xml:space="preserve">Affordable Units </t>
  </si>
  <si>
    <t>Bachelor</t>
  </si>
  <si>
    <t>MMR</t>
  </si>
  <si>
    <t>1-bedroom</t>
  </si>
  <si>
    <t>2-bedroom</t>
  </si>
  <si>
    <t>3+ -bedroom</t>
  </si>
  <si>
    <t>Total Affordable Units</t>
  </si>
  <si>
    <t xml:space="preserve">Market Units </t>
  </si>
  <si>
    <t>Total Market Units</t>
  </si>
  <si>
    <t>Parking Revenue</t>
  </si>
  <si>
    <t>Other Revenue</t>
  </si>
  <si>
    <t>Non Residential Revenue (total project, monthly)</t>
  </si>
  <si>
    <t>Total Number of Units</t>
  </si>
  <si>
    <t>Bachelors</t>
  </si>
  <si>
    <t>3+ bedroom</t>
  </si>
  <si>
    <r>
      <t>“Affordable Units”</t>
    </r>
    <r>
      <rPr>
        <sz val="11"/>
        <color rgb="FF000000"/>
        <rFont val="Calibri"/>
        <family val="2"/>
      </rPr>
      <t xml:space="preserve">  For the purposes of the CHIPP, affordable housing is defied as housing units offered for rent, for which the monthly rent is at or below the Affordable Rental Rates as determined by the Affordable Residential Units for the Purposes of the Development Charges Act, 1997 Bulletin as updated periodically by the Province of Ontario for the Town of Collingwood. </t>
    </r>
  </si>
  <si>
    <t>https://www.ontario.ca/page/municipal-development-and-community-benefits-charges-and-parklands</t>
  </si>
  <si>
    <t>4. Operating Budget</t>
  </si>
  <si>
    <t>Operating Budget</t>
  </si>
  <si>
    <t>Project Revenue (annual)</t>
  </si>
  <si>
    <t xml:space="preserve">Gross Residential Rental Income  </t>
  </si>
  <si>
    <t xml:space="preserve">     Gross Market Rental Income </t>
  </si>
  <si>
    <t xml:space="preserve">     Gross Affordable Rental Income  </t>
  </si>
  <si>
    <t xml:space="preserve">Total Laundry Income  </t>
  </si>
  <si>
    <t xml:space="preserve">Total Parking Income  </t>
  </si>
  <si>
    <t xml:space="preserve">Non-Residential Income </t>
  </si>
  <si>
    <t>Potential Gross Income</t>
  </si>
  <si>
    <t>Vacancy Allowance (total annual, enter as %)</t>
  </si>
  <si>
    <t>Bad Debt Allowance (total annual, enter as %)</t>
  </si>
  <si>
    <t>Effective Gross Income</t>
  </si>
  <si>
    <t>Operating Expenses (annual)</t>
  </si>
  <si>
    <t>TOTAL Operating Expenses</t>
  </si>
  <si>
    <t>Operating Expense Ratio</t>
  </si>
  <si>
    <t>Operating Model</t>
  </si>
  <si>
    <t>Net Operating Income (Effective Gross Income - Expenses)</t>
  </si>
  <si>
    <t>Loan Interest Rate</t>
  </si>
  <si>
    <t>Loan Amortization Period (Years)</t>
  </si>
  <si>
    <t>Capitalization Rate</t>
  </si>
  <si>
    <t>Capitalized Value</t>
  </si>
  <si>
    <t>Debt Coverage Ratio</t>
  </si>
  <si>
    <t>Base</t>
  </si>
  <si>
    <t>CMHC Loan</t>
  </si>
  <si>
    <t>Commercial Loan</t>
  </si>
  <si>
    <t>Net Present Value Analysis</t>
  </si>
  <si>
    <t>Total Number of Affordable Units</t>
  </si>
  <si>
    <t>Affordable - Weighted Avg. Rent</t>
  </si>
  <si>
    <t>Gross Potential Income</t>
  </si>
  <si>
    <t>Market - Weighted Avg. Rent (using the total number of affordable units)</t>
  </si>
  <si>
    <t>Vacancy Loss</t>
  </si>
  <si>
    <t>Net Rent Revenue</t>
  </si>
  <si>
    <t>Misc. Income</t>
  </si>
  <si>
    <t>Affordability Period (years)</t>
  </si>
  <si>
    <t>CMHC</t>
  </si>
  <si>
    <t>Commercial</t>
  </si>
  <si>
    <t>Operating Expense</t>
  </si>
  <si>
    <t>Incentive Ask</t>
  </si>
  <si>
    <t>NOI</t>
  </si>
  <si>
    <t>Annual Rent Saved</t>
  </si>
  <si>
    <t>DCR</t>
  </si>
  <si>
    <t>Annual Debt Service</t>
  </si>
  <si>
    <t>Present Value of Rent Saved</t>
  </si>
  <si>
    <t>Interest Rate</t>
  </si>
  <si>
    <t>Monthly Payment</t>
  </si>
  <si>
    <t>Net Present Value</t>
  </si>
  <si>
    <t>Number of Periods</t>
  </si>
  <si>
    <t>Profitability Index</t>
  </si>
  <si>
    <t>Cap Rate</t>
  </si>
  <si>
    <t>LTV%</t>
  </si>
  <si>
    <t>Incentive Required</t>
  </si>
  <si>
    <t>50 affordable</t>
  </si>
  <si>
    <t>50 at market</t>
  </si>
  <si>
    <t>at all market rates</t>
  </si>
  <si>
    <t>incl. affordable</t>
  </si>
  <si>
    <t>Net Rental Revenue</t>
  </si>
  <si>
    <t>Operating Cost</t>
  </si>
  <si>
    <t>Loan</t>
  </si>
  <si>
    <t>Total Dev Cost</t>
  </si>
  <si>
    <t>Greenwin</t>
  </si>
  <si>
    <t>Canahahns</t>
  </si>
  <si>
    <t>All at Market</t>
  </si>
  <si>
    <t>W/Affordable</t>
  </si>
  <si>
    <t>Other Income</t>
  </si>
  <si>
    <t>Difference in Equity</t>
  </si>
  <si>
    <t>Per Unit (affordable)</t>
  </si>
  <si>
    <t>United</t>
  </si>
  <si>
    <t>BBCFR</t>
  </si>
  <si>
    <t>Daniels 1</t>
  </si>
  <si>
    <t>Daniels 2</t>
  </si>
  <si>
    <t>Lead Applicant Name (first, last)</t>
  </si>
  <si>
    <t>Lead Organization/Company Name (full legal name and business name, as applicable)</t>
  </si>
  <si>
    <t>Is the lead applicant a non-profit, not-for-profit or charitable organization?</t>
  </si>
  <si>
    <t>Does the lead applicant have relevant prior experience building affordable housing or the proposed built form, or retained relevant experience</t>
  </si>
  <si>
    <t>Co-Applicant Organization / Company Name (full legal name and business name, as applicable)</t>
  </si>
  <si>
    <t xml:space="preserve">Total Site Area of the Entire Property (square metres) </t>
  </si>
  <si>
    <t>Total Gross Floor Area of the proposed building(s)</t>
  </si>
  <si>
    <t>Are a mix of uses or additional amenities (e.g. community amenities, childcare facilities, etc.) provided on site, if yes, please list</t>
  </si>
  <si>
    <t>Total Number of New Residential Units (affordable plus market rate as applicable)</t>
  </si>
  <si>
    <t>Total Number of Existing Residential Units (if applicable)</t>
  </si>
  <si>
    <t>Gross Floor Area of Non Residential Use (square metres), if proposed</t>
  </si>
  <si>
    <t>Description of Non-Residential Uses (retail, services, supports, etc.)</t>
  </si>
  <si>
    <t>Parking spaces allocated to Residential Units</t>
  </si>
  <si>
    <t>Parking spaces allocated to Non-Residential Units if applicable</t>
  </si>
  <si>
    <t>Parking Rate for Residential units (spaces per unit), if applicable</t>
  </si>
  <si>
    <t>Parking Rate for Non-Residential units, if applicable</t>
  </si>
  <si>
    <t>Is the project receiving any funding from any other sources</t>
  </si>
  <si>
    <t>Is the project receiving CMHC financing or funding</t>
  </si>
  <si>
    <t>If Yes, please specify the program(s) and the progress made so far.</t>
  </si>
  <si>
    <r>
      <t xml:space="preserve">Anticipated DC discount for market rate "rental housing development" per the </t>
    </r>
    <r>
      <rPr>
        <i/>
        <sz val="11"/>
        <rFont val="Calibri"/>
        <family val="2"/>
        <scheme val="minor"/>
      </rPr>
      <t>DC Act</t>
    </r>
    <r>
      <rPr>
        <sz val="11"/>
        <rFont val="Calibri"/>
        <family val="2"/>
        <scheme val="minor"/>
      </rPr>
      <t xml:space="preserve"> definition</t>
    </r>
  </si>
  <si>
    <t xml:space="preserve">Parking Rate - Blended Average (per unit, monthly). If no parking revenues are anticipated, please enter 0. </t>
  </si>
  <si>
    <t xml:space="preserve">Laundry Revenue (total project, monthly). If no laundry revenues are anticipated, please enter 0. </t>
  </si>
  <si>
    <t>Estimated Annual Mortgage Payment (include all loans payments related to the project)</t>
  </si>
  <si>
    <t>Development and Administration Costs (project management, legal fees, accounting, etc.)</t>
  </si>
  <si>
    <t>Consultant fees</t>
  </si>
  <si>
    <t>Parkland Dedication or Cash-In-Lieu (excluding any exemptions)</t>
  </si>
  <si>
    <t>Net HST (Before Rebates)</t>
  </si>
  <si>
    <r>
      <t xml:space="preserve">Anticipated Cash-in-lieu of Parkland exemptions for units that meet the </t>
    </r>
    <r>
      <rPr>
        <i/>
        <sz val="11"/>
        <rFont val="Calibri"/>
        <family val="2"/>
      </rPr>
      <t>DC Act</t>
    </r>
    <r>
      <rPr>
        <sz val="11"/>
        <rFont val="Calibri"/>
        <family val="2"/>
      </rPr>
      <t xml:space="preserve"> definition of "affordable residential unit" (if applicable)</t>
    </r>
  </si>
  <si>
    <t>Years of Affordability (min. 25 yrs)</t>
  </si>
  <si>
    <t>Co-Applicant Name (first, last, as applicable)</t>
  </si>
  <si>
    <t xml:space="preserve">Estimated Land Value per Gross Floor Area (m2) </t>
  </si>
  <si>
    <t>HST Exemptions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</si>
</sst>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0;[Red]\-&quot;$&quot;#,##0.00"/>
    <numFmt numFmtId="165" formatCode="_-&quot;$&quot;* #,##0.00_-;\-&quot;$&quot;* #,##0.00_-;_-&quot;$&quot;* &quot;-&quot;??_-;_-@_-"/>
    <numFmt numFmtId="166" formatCode="_-* #,##0.00_-;\-* #,##0.00_-;_-* &quot;-&quot;??_-;_-@_-"/>
    <numFmt numFmtId="167" formatCode="&quot;$&quot;#,##0"/>
    <numFmt numFmtId="168" formatCode="&quot;$&quot;#,##0.00"/>
    <numFmt numFmtId="169" formatCode="_-&quot;$&quot;* #,##0_-;\-&quot;$&quot;* #,##0_-;_-&quot;$&quot;* &quot;-&quot;??_-;_-@_-"/>
    <numFmt numFmtId="170" formatCode="0.0%"/>
  </numFmts>
  <fonts count="25" x14ac:knownFonts="1">
    <font>
      <sz val="11"/>
      <color theme="1"/>
      <name val="Calibri"/>
      <family val="2"/>
      <scheme val="minor"/>
    </font>
    <font>
      <sz val="11"/>
      <color theme="1"/>
      <name val="Calibri"/>
      <family val="2"/>
      <scheme val="minor"/>
    </font>
    <font>
      <sz val="12"/>
      <name val="Arial"/>
      <family val="2"/>
    </font>
    <font>
      <u/>
      <sz val="11"/>
      <color theme="1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1"/>
      <color rgb="FF000000"/>
      <name val="Calibri"/>
      <family val="2"/>
    </font>
    <font>
      <b/>
      <sz val="11"/>
      <color theme="1" tint="0.249977111117893"/>
      <name val="Calibri"/>
      <family val="2"/>
      <scheme val="minor"/>
    </font>
    <font>
      <b/>
      <sz val="14"/>
      <color theme="1"/>
      <name val="Calibri"/>
      <family val="2"/>
      <scheme val="minor"/>
    </font>
    <font>
      <b/>
      <sz val="11"/>
      <color rgb="FF000000"/>
      <name val="Calibri"/>
      <family val="2"/>
    </font>
    <font>
      <b/>
      <sz val="14"/>
      <color rgb="FF000000"/>
      <name val="Calibri"/>
      <family val="2"/>
    </font>
    <font>
      <i/>
      <sz val="11"/>
      <color rgb="FF000000"/>
      <name val="Calibri"/>
      <family val="2"/>
    </font>
    <font>
      <b/>
      <sz val="10"/>
      <color rgb="FF000000"/>
      <name val="Calibri"/>
      <family val="2"/>
    </font>
    <font>
      <sz val="10"/>
      <color rgb="FF000000"/>
      <name val="Calibri"/>
      <family val="2"/>
    </font>
    <font>
      <i/>
      <sz val="10"/>
      <color rgb="FF000000"/>
      <name val="Calibri"/>
      <family val="2"/>
    </font>
    <font>
      <sz val="10"/>
      <color theme="1"/>
      <name val="Calibri"/>
      <family val="2"/>
      <scheme val="minor"/>
    </font>
    <font>
      <b/>
      <u/>
      <sz val="10"/>
      <color rgb="FF000000"/>
      <name val="Calibri"/>
      <family val="2"/>
    </font>
    <font>
      <sz val="11"/>
      <color rgb="FF000000"/>
      <name val="Calibri"/>
      <family val="2"/>
      <scheme val="minor"/>
    </font>
    <font>
      <sz val="11"/>
      <name val="Calibri"/>
      <family val="2"/>
      <scheme val="minor"/>
    </font>
    <font>
      <i/>
      <sz val="11"/>
      <name val="Calibri"/>
      <family val="2"/>
      <scheme val="minor"/>
    </font>
    <font>
      <sz val="11"/>
      <name val="Calibri"/>
      <family val="2"/>
    </font>
    <font>
      <i/>
      <sz val="11"/>
      <name val="Calibri"/>
      <family val="2"/>
    </font>
  </fonts>
  <fills count="22">
    <fill>
      <patternFill patternType="none"/>
    </fill>
    <fill>
      <patternFill patternType="gray125"/>
    </fill>
    <fill>
      <patternFill patternType="solid">
        <fgColor theme="7"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patternFill>
    </fill>
    <fill>
      <patternFill patternType="solid">
        <fgColor theme="6" tint="0.79998168889431442"/>
        <bgColor indexed="65"/>
      </patternFill>
    </fill>
    <fill>
      <patternFill patternType="solid">
        <fgColor theme="5" tint="0.79998168889431442"/>
        <bgColor indexed="64"/>
      </patternFill>
    </fill>
    <fill>
      <patternFill patternType="solid">
        <fgColor rgb="FF0066B3"/>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theme="8" tint="0.79998168889431442"/>
        <bgColor indexed="64"/>
      </patternFill>
    </fill>
    <fill>
      <patternFill patternType="solid">
        <fgColor rgb="FFD9D9D9"/>
        <bgColor indexed="64"/>
      </patternFill>
    </fill>
    <fill>
      <patternFill patternType="solid">
        <fgColor theme="4"/>
        <bgColor indexed="64"/>
      </patternFill>
    </fill>
    <fill>
      <patternFill patternType="solid">
        <fgColor rgb="FFFFF2CC"/>
        <bgColor rgb="FF000000"/>
      </patternFill>
    </fill>
    <fill>
      <patternFill patternType="solid">
        <fgColor rgb="FFD9D9D9"/>
        <bgColor rgb="FF000000"/>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EDEDED"/>
        <bgColor rgb="FF000000"/>
      </patternFill>
    </fill>
    <fill>
      <patternFill patternType="solid">
        <fgColor theme="0" tint="-4.9989318521683403E-2"/>
        <bgColor rgb="FF000000"/>
      </patternFill>
    </fill>
  </fills>
  <borders count="3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style="thin">
        <color auto="1"/>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165" fontId="1" fillId="0" borderId="0" applyFont="0" applyFill="0" applyBorder="0" applyAlignment="0" applyProtection="0"/>
    <xf numFmtId="0" fontId="7" fillId="5" borderId="0" applyNumberFormat="0" applyBorder="0" applyAlignment="0" applyProtection="0"/>
    <xf numFmtId="0" fontId="1" fillId="6" borderId="0" applyNumberFormat="0" applyBorder="0" applyAlignment="0" applyProtection="0"/>
    <xf numFmtId="166" fontId="1" fillId="0" borderId="0" applyFont="0" applyFill="0" applyBorder="0" applyAlignment="0" applyProtection="0"/>
  </cellStyleXfs>
  <cellXfs count="187">
    <xf numFmtId="0" fontId="0" fillId="0" borderId="0" xfId="0"/>
    <xf numFmtId="0" fontId="0" fillId="2" borderId="2" xfId="6"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0" borderId="2" xfId="0" applyBorder="1" applyAlignment="1">
      <alignment horizontal="left" vertical="center" wrapText="1"/>
    </xf>
    <xf numFmtId="0" fontId="10" fillId="12" borderId="2" xfId="5" applyFont="1" applyFill="1" applyBorder="1" applyAlignment="1" applyProtection="1">
      <alignment horizontal="center" vertical="center" wrapText="1"/>
    </xf>
    <xf numFmtId="165" fontId="0" fillId="0" borderId="0" xfId="4" applyFont="1"/>
    <xf numFmtId="165" fontId="0" fillId="0" borderId="5" xfId="4" applyFont="1" applyBorder="1"/>
    <xf numFmtId="0" fontId="0" fillId="0" borderId="9" xfId="0" applyBorder="1"/>
    <xf numFmtId="165" fontId="0" fillId="0" borderId="0" xfId="4" applyFont="1" applyBorder="1"/>
    <xf numFmtId="0" fontId="0" fillId="0" borderId="4" xfId="0" applyBorder="1"/>
    <xf numFmtId="0" fontId="0" fillId="0" borderId="10" xfId="0" applyBorder="1"/>
    <xf numFmtId="164" fontId="0" fillId="0" borderId="0" xfId="0" applyNumberFormat="1"/>
    <xf numFmtId="164" fontId="0" fillId="0" borderId="4" xfId="0" applyNumberFormat="1" applyBorder="1"/>
    <xf numFmtId="2" fontId="0" fillId="0" borderId="0" xfId="4" applyNumberFormat="1" applyFont="1" applyBorder="1"/>
    <xf numFmtId="2" fontId="0" fillId="0" borderId="0" xfId="0" applyNumberFormat="1"/>
    <xf numFmtId="2" fontId="0" fillId="0" borderId="4" xfId="0" applyNumberFormat="1" applyBorder="1"/>
    <xf numFmtId="164" fontId="0" fillId="0" borderId="0" xfId="4" applyNumberFormat="1" applyFont="1" applyBorder="1"/>
    <xf numFmtId="10" fontId="0" fillId="0" borderId="0" xfId="1" applyNumberFormat="1" applyFont="1" applyBorder="1"/>
    <xf numFmtId="0" fontId="0" fillId="0" borderId="0" xfId="4" applyNumberFormat="1" applyFont="1" applyBorder="1"/>
    <xf numFmtId="10" fontId="0" fillId="0" borderId="0" xfId="4" applyNumberFormat="1" applyFont="1" applyBorder="1"/>
    <xf numFmtId="165" fontId="0" fillId="0" borderId="4" xfId="4" applyFont="1" applyBorder="1"/>
    <xf numFmtId="9" fontId="0" fillId="0" borderId="0" xfId="1" applyFont="1" applyBorder="1"/>
    <xf numFmtId="9" fontId="0" fillId="0" borderId="4" xfId="1" applyFont="1" applyBorder="1"/>
    <xf numFmtId="0" fontId="0" fillId="0" borderId="11" xfId="0" applyBorder="1"/>
    <xf numFmtId="0" fontId="4" fillId="14" borderId="6" xfId="0" applyFont="1" applyFill="1" applyBorder="1"/>
    <xf numFmtId="165" fontId="4" fillId="14" borderId="7" xfId="4" applyFont="1" applyFill="1" applyBorder="1"/>
    <xf numFmtId="0" fontId="4" fillId="14" borderId="7" xfId="0" applyFont="1" applyFill="1" applyBorder="1"/>
    <xf numFmtId="0" fontId="4" fillId="14" borderId="8" xfId="0" applyFont="1" applyFill="1" applyBorder="1"/>
    <xf numFmtId="169" fontId="0" fillId="0" borderId="0" xfId="4" applyNumberFormat="1" applyFont="1" applyBorder="1"/>
    <xf numFmtId="0" fontId="0" fillId="3" borderId="0" xfId="0" applyFill="1" applyAlignment="1">
      <alignment horizontal="center"/>
    </xf>
    <xf numFmtId="0" fontId="0" fillId="3" borderId="4" xfId="0" applyFill="1" applyBorder="1" applyAlignment="1">
      <alignment horizontal="center"/>
    </xf>
    <xf numFmtId="165" fontId="0" fillId="0" borderId="0" xfId="0" applyNumberFormat="1"/>
    <xf numFmtId="165" fontId="0" fillId="0" borderId="4" xfId="0" applyNumberFormat="1" applyBorder="1"/>
    <xf numFmtId="9" fontId="0" fillId="0" borderId="1" xfId="1" applyFont="1" applyBorder="1"/>
    <xf numFmtId="9" fontId="0" fillId="0" borderId="12" xfId="1" applyFont="1" applyBorder="1"/>
    <xf numFmtId="0" fontId="0" fillId="3" borderId="11" xfId="0" applyFill="1" applyBorder="1"/>
    <xf numFmtId="165" fontId="0" fillId="3" borderId="1" xfId="4" applyFont="1" applyFill="1" applyBorder="1"/>
    <xf numFmtId="0" fontId="0" fillId="3" borderId="1" xfId="0" applyFill="1" applyBorder="1"/>
    <xf numFmtId="164" fontId="0" fillId="3" borderId="1" xfId="0" applyNumberFormat="1" applyFill="1" applyBorder="1"/>
    <xf numFmtId="164" fontId="0" fillId="3" borderId="12" xfId="0" applyNumberFormat="1" applyFill="1" applyBorder="1"/>
    <xf numFmtId="166" fontId="0" fillId="0" borderId="0" xfId="7" applyFont="1"/>
    <xf numFmtId="9" fontId="0" fillId="0" borderId="0" xfId="1" applyFont="1"/>
    <xf numFmtId="4" fontId="0" fillId="0" borderId="0" xfId="0" applyNumberFormat="1"/>
    <xf numFmtId="165" fontId="0" fillId="7" borderId="0" xfId="4" applyFont="1" applyFill="1" applyBorder="1"/>
    <xf numFmtId="165" fontId="0" fillId="7" borderId="4" xfId="4" applyFont="1" applyFill="1" applyBorder="1"/>
    <xf numFmtId="165" fontId="0" fillId="0" borderId="1" xfId="4" applyFont="1" applyBorder="1"/>
    <xf numFmtId="165" fontId="0" fillId="7" borderId="12" xfId="4" applyFont="1" applyFill="1" applyBorder="1"/>
    <xf numFmtId="0" fontId="0" fillId="2" borderId="9" xfId="0" applyFill="1" applyBorder="1"/>
    <xf numFmtId="10" fontId="0" fillId="0" borderId="0" xfId="1" applyNumberFormat="1" applyFont="1"/>
    <xf numFmtId="0" fontId="0" fillId="4" borderId="0" xfId="0" applyFill="1"/>
    <xf numFmtId="0" fontId="11" fillId="0" borderId="0" xfId="0" applyFont="1" applyAlignment="1">
      <alignment vertical="center" wrapText="1"/>
    </xf>
    <xf numFmtId="0" fontId="1" fillId="0" borderId="0" xfId="0" applyFont="1" applyAlignment="1">
      <alignment vertical="center" wrapText="1"/>
    </xf>
    <xf numFmtId="0" fontId="1" fillId="2" borderId="0" xfId="0" applyFont="1" applyFill="1" applyAlignment="1">
      <alignment vertical="center" wrapText="1"/>
    </xf>
    <xf numFmtId="0" fontId="6" fillId="0" borderId="0" xfId="0" applyFont="1" applyAlignment="1">
      <alignment vertical="center" wrapText="1"/>
    </xf>
    <xf numFmtId="0" fontId="4" fillId="8" borderId="3" xfId="5" applyFont="1" applyFill="1" applyBorder="1" applyAlignment="1" applyProtection="1">
      <alignment vertical="center" wrapText="1"/>
    </xf>
    <xf numFmtId="0" fontId="1" fillId="13" borderId="0" xfId="0" applyFont="1" applyFill="1" applyAlignment="1">
      <alignment vertical="center" wrapText="1"/>
    </xf>
    <xf numFmtId="0" fontId="4" fillId="8" borderId="16" xfId="5" applyFont="1" applyFill="1" applyBorder="1" applyAlignment="1" applyProtection="1">
      <alignment horizontal="center" vertical="center" wrapText="1"/>
    </xf>
    <xf numFmtId="167" fontId="1" fillId="10" borderId="3" xfId="6" applyNumberFormat="1" applyFill="1" applyBorder="1" applyAlignment="1" applyProtection="1">
      <alignment horizontal="center" vertical="center" wrapText="1"/>
    </xf>
    <xf numFmtId="167" fontId="1" fillId="2" borderId="3" xfId="6" applyNumberFormat="1" applyFill="1" applyBorder="1" applyAlignment="1" applyProtection="1">
      <alignment horizontal="center" vertical="center" wrapText="1"/>
      <protection locked="0"/>
    </xf>
    <xf numFmtId="0" fontId="1" fillId="2" borderId="3" xfId="0" applyFont="1" applyFill="1" applyBorder="1" applyAlignment="1" applyProtection="1">
      <alignment wrapText="1"/>
      <protection locked="0"/>
    </xf>
    <xf numFmtId="9" fontId="1" fillId="10" borderId="3" xfId="1" applyFont="1" applyFill="1" applyBorder="1" applyAlignment="1" applyProtection="1">
      <alignment horizontal="center" vertical="center" wrapText="1"/>
    </xf>
    <xf numFmtId="2" fontId="1" fillId="10" borderId="3" xfId="1" applyNumberFormat="1" applyFont="1" applyFill="1" applyBorder="1" applyAlignment="1" applyProtection="1">
      <alignment horizontal="center" vertical="center" wrapText="1"/>
    </xf>
    <xf numFmtId="168" fontId="0" fillId="0" borderId="0" xfId="0" applyNumberFormat="1" applyAlignment="1">
      <alignment horizontal="center" vertical="center" wrapText="1"/>
    </xf>
    <xf numFmtId="9" fontId="1" fillId="2" borderId="3" xfId="1" applyFill="1" applyBorder="1" applyAlignment="1" applyProtection="1">
      <alignment horizontal="center" vertical="center" wrapText="1"/>
      <protection locked="0"/>
    </xf>
    <xf numFmtId="0" fontId="4" fillId="8" borderId="17" xfId="5" applyFont="1" applyFill="1" applyBorder="1" applyAlignment="1" applyProtection="1">
      <alignment vertical="center" wrapText="1"/>
    </xf>
    <xf numFmtId="168" fontId="4" fillId="8" borderId="17" xfId="5" applyNumberFormat="1" applyFont="1" applyFill="1" applyBorder="1" applyAlignment="1" applyProtection="1">
      <alignment horizontal="center" vertical="center" wrapText="1"/>
    </xf>
    <xf numFmtId="0" fontId="4" fillId="8" borderId="17" xfId="0" applyFont="1" applyFill="1" applyBorder="1" applyAlignment="1">
      <alignment horizontal="center" vertical="center" wrapText="1"/>
    </xf>
    <xf numFmtId="0" fontId="0" fillId="10" borderId="0" xfId="0" applyFill="1" applyAlignment="1">
      <alignment horizontal="left" vertical="center" wrapText="1"/>
    </xf>
    <xf numFmtId="0" fontId="0" fillId="10" borderId="0" xfId="0" applyFill="1"/>
    <xf numFmtId="0" fontId="13" fillId="0" borderId="0" xfId="0" applyFont="1" applyAlignment="1">
      <alignment wrapText="1"/>
    </xf>
    <xf numFmtId="0" fontId="9" fillId="2" borderId="2" xfId="0" applyFont="1" applyFill="1" applyBorder="1" applyAlignment="1" applyProtection="1">
      <alignment horizontal="center" wrapText="1"/>
      <protection locked="0"/>
    </xf>
    <xf numFmtId="0" fontId="0" fillId="17" borderId="2" xfId="0" applyFill="1" applyBorder="1"/>
    <xf numFmtId="0" fontId="0" fillId="17" borderId="2" xfId="0" applyFill="1" applyBorder="1" applyAlignment="1">
      <alignment horizontal="left" vertical="center" wrapText="1"/>
    </xf>
    <xf numFmtId="0" fontId="0" fillId="18" borderId="2" xfId="0" applyFill="1" applyBorder="1"/>
    <xf numFmtId="0" fontId="1" fillId="17" borderId="2" xfId="0" applyFont="1" applyFill="1" applyBorder="1" applyAlignment="1">
      <alignment vertical="center" wrapText="1"/>
    </xf>
    <xf numFmtId="168" fontId="0" fillId="17" borderId="2" xfId="0" applyNumberFormat="1" applyFill="1" applyBorder="1" applyAlignment="1">
      <alignment horizontal="center" vertical="center" wrapText="1"/>
    </xf>
    <xf numFmtId="0" fontId="1" fillId="0" borderId="2" xfId="0" applyFont="1" applyBorder="1" applyAlignment="1">
      <alignment vertical="center" wrapText="1"/>
    </xf>
    <xf numFmtId="168" fontId="0" fillId="0" borderId="2" xfId="0" applyNumberFormat="1" applyBorder="1" applyAlignment="1">
      <alignment horizontal="center" vertical="center" wrapText="1"/>
    </xf>
    <xf numFmtId="168" fontId="0" fillId="10" borderId="2" xfId="0" applyNumberFormat="1" applyFill="1" applyBorder="1" applyAlignment="1">
      <alignment horizontal="center" vertical="center" wrapText="1"/>
    </xf>
    <xf numFmtId="0" fontId="1" fillId="0" borderId="2" xfId="0" applyFont="1" applyBorder="1" applyAlignment="1">
      <alignment horizontal="left" vertical="center" wrapText="1" indent="1"/>
    </xf>
    <xf numFmtId="168" fontId="0" fillId="10" borderId="2" xfId="4" applyNumberFormat="1" applyFont="1" applyFill="1" applyBorder="1" applyAlignment="1">
      <alignment horizontal="center" vertical="center" wrapText="1"/>
    </xf>
    <xf numFmtId="0" fontId="1" fillId="10" borderId="2" xfId="0" applyFont="1" applyFill="1" applyBorder="1" applyAlignment="1">
      <alignment vertical="center" wrapText="1"/>
    </xf>
    <xf numFmtId="0" fontId="0" fillId="19" borderId="2" xfId="0" applyFill="1" applyBorder="1" applyAlignment="1">
      <alignment horizontal="left" vertical="center" wrapText="1"/>
    </xf>
    <xf numFmtId="170" fontId="1" fillId="2" borderId="3" xfId="6" applyNumberFormat="1" applyFill="1" applyBorder="1" applyAlignment="1" applyProtection="1">
      <alignment horizontal="center" vertical="center" wrapText="1"/>
      <protection locked="0"/>
    </xf>
    <xf numFmtId="0" fontId="7" fillId="14" borderId="2" xfId="0" applyFont="1" applyFill="1" applyBorder="1"/>
    <xf numFmtId="0" fontId="9" fillId="2" borderId="2" xfId="7" applyNumberFormat="1" applyFont="1" applyFill="1" applyBorder="1" applyAlignment="1" applyProtection="1">
      <alignment horizontal="center" wrapText="1"/>
      <protection locked="0"/>
    </xf>
    <xf numFmtId="9" fontId="9" fillId="2" borderId="2" xfId="1" applyFont="1" applyFill="1" applyBorder="1" applyAlignment="1" applyProtection="1">
      <alignment horizontal="center" wrapText="1"/>
      <protection locked="0"/>
    </xf>
    <xf numFmtId="0" fontId="17" fillId="0" borderId="0" xfId="0" applyFont="1" applyAlignment="1">
      <alignment vertical="top" wrapText="1"/>
    </xf>
    <xf numFmtId="0" fontId="1" fillId="10" borderId="23" xfId="0" applyFont="1" applyFill="1" applyBorder="1" applyAlignment="1">
      <alignment vertical="center" wrapText="1"/>
    </xf>
    <xf numFmtId="0" fontId="1" fillId="0" borderId="2" xfId="0" applyFont="1" applyBorder="1" applyAlignment="1">
      <alignment horizontal="left" vertical="center" wrapText="1" indent="2"/>
    </xf>
    <xf numFmtId="0" fontId="9" fillId="0" borderId="2" xfId="0" applyFont="1" applyBorder="1" applyAlignment="1">
      <alignment vertical="center" wrapText="1"/>
    </xf>
    <xf numFmtId="0" fontId="9" fillId="15" borderId="0" xfId="0" applyFont="1" applyFill="1" applyAlignment="1">
      <alignment wrapText="1"/>
    </xf>
    <xf numFmtId="0" fontId="12" fillId="0" borderId="0" xfId="0" applyFont="1" applyAlignment="1">
      <alignment wrapText="1"/>
    </xf>
    <xf numFmtId="0" fontId="8" fillId="8" borderId="2" xfId="0" applyFont="1" applyFill="1" applyBorder="1" applyAlignment="1">
      <alignment vertical="center" wrapText="1"/>
    </xf>
    <xf numFmtId="0" fontId="4" fillId="8" borderId="2" xfId="0" applyFont="1" applyFill="1" applyBorder="1" applyAlignment="1">
      <alignment vertical="center" wrapText="1"/>
    </xf>
    <xf numFmtId="0" fontId="9" fillId="16" borderId="0" xfId="0" applyFont="1" applyFill="1" applyAlignment="1">
      <alignment wrapText="1"/>
    </xf>
    <xf numFmtId="0" fontId="0" fillId="0" borderId="2" xfId="0" applyBorder="1" applyAlignment="1">
      <alignment vertical="center" wrapText="1"/>
    </xf>
    <xf numFmtId="0" fontId="11" fillId="0" borderId="0" xfId="0" applyFont="1" applyAlignment="1">
      <alignment wrapText="1"/>
    </xf>
    <xf numFmtId="0" fontId="1" fillId="0" borderId="0" xfId="0" applyFont="1" applyAlignment="1">
      <alignment horizontal="center" wrapText="1"/>
    </xf>
    <xf numFmtId="0" fontId="1" fillId="0" borderId="0" xfId="0" applyFont="1" applyAlignment="1">
      <alignment wrapText="1"/>
    </xf>
    <xf numFmtId="0" fontId="4" fillId="8" borderId="3" xfId="0" applyFont="1" applyFill="1" applyBorder="1" applyAlignment="1">
      <alignment horizontal="center" vertical="top" wrapText="1"/>
    </xf>
    <xf numFmtId="0" fontId="1" fillId="10" borderId="0" xfId="0" applyFont="1" applyFill="1" applyAlignment="1">
      <alignment vertical="center" wrapText="1"/>
    </xf>
    <xf numFmtId="0" fontId="6" fillId="9" borderId="15" xfId="0" applyFont="1" applyFill="1" applyBorder="1" applyAlignment="1">
      <alignment wrapText="1"/>
    </xf>
    <xf numFmtId="0" fontId="1" fillId="0" borderId="3" xfId="0" applyFont="1" applyBorder="1" applyAlignment="1">
      <alignment vertical="center" wrapText="1"/>
    </xf>
    <xf numFmtId="0" fontId="0" fillId="10" borderId="3" xfId="0" applyFill="1" applyBorder="1" applyAlignment="1">
      <alignment wrapText="1"/>
    </xf>
    <xf numFmtId="0" fontId="5" fillId="10" borderId="3" xfId="0" applyFont="1" applyFill="1" applyBorder="1" applyAlignment="1">
      <alignment wrapText="1"/>
    </xf>
    <xf numFmtId="0" fontId="1" fillId="10" borderId="3" xfId="0" applyFont="1" applyFill="1" applyBorder="1" applyAlignment="1">
      <alignment wrapText="1"/>
    </xf>
    <xf numFmtId="0" fontId="6" fillId="0" borderId="3" xfId="0" applyFont="1" applyBorder="1" applyAlignment="1">
      <alignment vertical="center" wrapText="1"/>
    </xf>
    <xf numFmtId="0" fontId="6" fillId="9" borderId="13" xfId="0" applyFont="1" applyFill="1" applyBorder="1" applyAlignment="1">
      <alignment wrapText="1"/>
    </xf>
    <xf numFmtId="0" fontId="6" fillId="9" borderId="14" xfId="0" applyFont="1" applyFill="1" applyBorder="1" applyAlignment="1">
      <alignment horizontal="center" wrapText="1"/>
    </xf>
    <xf numFmtId="167" fontId="1" fillId="0" borderId="0" xfId="0" applyNumberFormat="1" applyFont="1" applyAlignment="1">
      <alignment wrapText="1"/>
    </xf>
    <xf numFmtId="168" fontId="1" fillId="10" borderId="3" xfId="0" applyNumberFormat="1" applyFont="1" applyFill="1" applyBorder="1" applyAlignment="1">
      <alignment wrapText="1"/>
    </xf>
    <xf numFmtId="165" fontId="1" fillId="10" borderId="3" xfId="4" applyFill="1" applyBorder="1" applyAlignment="1" applyProtection="1">
      <alignment horizontal="center" vertical="center" wrapText="1"/>
    </xf>
    <xf numFmtId="0" fontId="0" fillId="2" borderId="2" xfId="0" applyFill="1" applyBorder="1" applyProtection="1">
      <protection locked="0"/>
    </xf>
    <xf numFmtId="0" fontId="0" fillId="2" borderId="2" xfId="0" applyFill="1" applyBorder="1" applyAlignment="1" applyProtection="1">
      <alignment horizontal="right"/>
      <protection locked="0"/>
    </xf>
    <xf numFmtId="165" fontId="0" fillId="2" borderId="2" xfId="4" applyFont="1" applyFill="1" applyBorder="1" applyProtection="1">
      <protection locked="0"/>
    </xf>
    <xf numFmtId="168" fontId="0" fillId="2" borderId="2" xfId="0" applyNumberFormat="1" applyFill="1" applyBorder="1" applyAlignment="1" applyProtection="1">
      <alignment horizontal="center" vertical="center" wrapText="1"/>
      <protection locked="0"/>
    </xf>
    <xf numFmtId="0" fontId="1" fillId="2" borderId="2" xfId="0" applyFont="1" applyFill="1" applyBorder="1" applyAlignment="1" applyProtection="1">
      <alignment vertical="center" wrapText="1"/>
      <protection locked="0"/>
    </xf>
    <xf numFmtId="0" fontId="1" fillId="2" borderId="23" xfId="0" applyFont="1" applyFill="1" applyBorder="1" applyAlignment="1" applyProtection="1">
      <alignment vertical="center" wrapText="1"/>
      <protection locked="0"/>
    </xf>
    <xf numFmtId="168" fontId="0" fillId="11" borderId="2" xfId="0" applyNumberFormat="1" applyFill="1" applyBorder="1" applyAlignment="1" applyProtection="1">
      <alignment horizontal="center" vertical="center" wrapText="1"/>
      <protection locked="0"/>
    </xf>
    <xf numFmtId="0" fontId="1" fillId="11" borderId="23" xfId="0" applyFont="1" applyFill="1" applyBorder="1" applyAlignment="1" applyProtection="1">
      <alignment vertical="center" wrapText="1"/>
      <protection locked="0"/>
    </xf>
    <xf numFmtId="0" fontId="1" fillId="0" borderId="0" xfId="0" applyFont="1" applyAlignment="1" applyProtection="1">
      <alignment wrapText="1"/>
      <protection locked="0"/>
    </xf>
    <xf numFmtId="168" fontId="1" fillId="2" borderId="3" xfId="0" applyNumberFormat="1" applyFont="1" applyFill="1" applyBorder="1" applyAlignment="1" applyProtection="1">
      <alignment wrapText="1"/>
      <protection locked="0"/>
    </xf>
    <xf numFmtId="170" fontId="1" fillId="2" borderId="3" xfId="1" applyNumberFormat="1" applyFill="1" applyBorder="1" applyAlignment="1" applyProtection="1">
      <alignment horizontal="center" vertical="center" wrapText="1"/>
      <protection locked="0"/>
    </xf>
    <xf numFmtId="0" fontId="1" fillId="2" borderId="3" xfId="6" applyNumberFormat="1" applyFill="1" applyBorder="1" applyAlignment="1" applyProtection="1">
      <alignment horizontal="center" vertical="center" wrapText="1"/>
      <protection locked="0"/>
    </xf>
    <xf numFmtId="169" fontId="0" fillId="2" borderId="2" xfId="4" applyNumberFormat="1" applyFont="1" applyFill="1" applyBorder="1" applyAlignment="1" applyProtection="1">
      <alignment horizontal="right"/>
      <protection locked="0"/>
    </xf>
    <xf numFmtId="169" fontId="0" fillId="2" borderId="2" xfId="4" applyNumberFormat="1" applyFont="1" applyFill="1" applyBorder="1" applyProtection="1">
      <protection locked="0"/>
    </xf>
    <xf numFmtId="169" fontId="0" fillId="18" borderId="2" xfId="4" applyNumberFormat="1" applyFont="1" applyFill="1" applyBorder="1"/>
    <xf numFmtId="169" fontId="0" fillId="17" borderId="2" xfId="0" applyNumberFormat="1" applyFill="1" applyBorder="1"/>
    <xf numFmtId="1" fontId="0" fillId="18" borderId="2" xfId="0" applyNumberFormat="1" applyFill="1" applyBorder="1" applyAlignment="1">
      <alignment horizontal="right"/>
    </xf>
    <xf numFmtId="1" fontId="0" fillId="18" borderId="2" xfId="0" applyNumberFormat="1" applyFill="1" applyBorder="1"/>
    <xf numFmtId="0" fontId="20" fillId="20" borderId="2" xfId="0" applyFont="1" applyFill="1" applyBorder="1" applyAlignment="1">
      <alignment horizontal="center" vertical="center" wrapText="1"/>
    </xf>
    <xf numFmtId="0" fontId="20" fillId="21" borderId="2" xfId="0" applyFont="1" applyFill="1" applyBorder="1" applyAlignment="1">
      <alignment horizontal="center" wrapText="1"/>
    </xf>
    <xf numFmtId="0" fontId="0" fillId="2" borderId="2" xfId="6" applyFont="1" applyFill="1" applyBorder="1" applyAlignment="1" applyProtection="1">
      <alignment horizontal="center" vertical="center" wrapText="1"/>
    </xf>
    <xf numFmtId="0" fontId="21" fillId="0" borderId="2" xfId="0" applyFont="1" applyBorder="1" applyAlignment="1">
      <alignment vertical="center" wrapText="1"/>
    </xf>
    <xf numFmtId="0" fontId="0" fillId="2" borderId="2" xfId="0" applyFill="1" applyBorder="1" applyAlignment="1">
      <alignment horizontal="center" vertical="center" wrapText="1"/>
    </xf>
    <xf numFmtId="0" fontId="0" fillId="0" borderId="3" xfId="0" applyBorder="1" applyAlignment="1">
      <alignment vertical="center" wrapText="1"/>
    </xf>
    <xf numFmtId="0" fontId="0" fillId="0" borderId="2" xfId="0" applyBorder="1" applyAlignment="1">
      <alignment horizontal="left" vertical="center" wrapText="1" indent="1"/>
    </xf>
    <xf numFmtId="0" fontId="0" fillId="0" borderId="2" xfId="0" applyBorder="1" applyAlignment="1">
      <alignment horizontal="left" vertical="center" wrapText="1" indent="2"/>
    </xf>
    <xf numFmtId="0" fontId="18" fillId="0" borderId="0" xfId="0" applyFont="1" applyAlignment="1">
      <alignment horizontal="left" vertical="center" wrapText="1"/>
    </xf>
    <xf numFmtId="0" fontId="23" fillId="0" borderId="2" xfId="0" applyFont="1" applyBorder="1" applyAlignment="1">
      <alignment vertical="center" wrapText="1"/>
    </xf>
    <xf numFmtId="0" fontId="0" fillId="10" borderId="2" xfId="0" applyFill="1" applyBorder="1"/>
    <xf numFmtId="0" fontId="7" fillId="14" borderId="2" xfId="0" applyFont="1" applyFill="1" applyBorder="1" applyAlignment="1">
      <alignment horizontal="left" vertical="center" wrapText="1"/>
    </xf>
    <xf numFmtId="0" fontId="6" fillId="9" borderId="2" xfId="0" applyFont="1" applyFill="1" applyBorder="1" applyAlignment="1">
      <alignment horizontal="left" vertical="center" wrapText="1"/>
    </xf>
    <xf numFmtId="0" fontId="16" fillId="0" borderId="23" xfId="0" applyFont="1" applyBorder="1" applyAlignment="1">
      <alignment horizontal="left" vertical="top" wrapText="1"/>
    </xf>
    <xf numFmtId="0" fontId="16" fillId="0" borderId="32" xfId="0" applyFont="1" applyBorder="1" applyAlignment="1">
      <alignment horizontal="left" vertical="top" wrapText="1"/>
    </xf>
    <xf numFmtId="0" fontId="16" fillId="0" borderId="33" xfId="0" applyFont="1" applyBorder="1" applyAlignment="1">
      <alignment horizontal="left" vertical="top" wrapText="1"/>
    </xf>
    <xf numFmtId="0" fontId="16" fillId="0" borderId="2" xfId="0" applyFont="1" applyBorder="1" applyAlignment="1">
      <alignment horizontal="left" vertical="center" wrapText="1"/>
    </xf>
    <xf numFmtId="0" fontId="18" fillId="0" borderId="2" xfId="0" applyFont="1" applyBorder="1" applyAlignment="1">
      <alignment horizontal="left" vertical="center" wrapText="1"/>
    </xf>
    <xf numFmtId="0" fontId="16" fillId="0" borderId="25" xfId="0" applyFont="1" applyBorder="1" applyAlignment="1">
      <alignment horizontal="left" vertical="top" wrapText="1"/>
    </xf>
    <xf numFmtId="0" fontId="16" fillId="0" borderId="26" xfId="0" applyFont="1" applyBorder="1" applyAlignment="1">
      <alignment horizontal="left" vertical="top" wrapText="1"/>
    </xf>
    <xf numFmtId="0" fontId="16" fillId="0" borderId="27" xfId="0" applyFont="1" applyBorder="1" applyAlignment="1">
      <alignment horizontal="left" vertical="top" wrapText="1"/>
    </xf>
    <xf numFmtId="0" fontId="16" fillId="0" borderId="28" xfId="0" applyFont="1" applyBorder="1" applyAlignment="1">
      <alignment horizontal="left" vertical="top" wrapText="1"/>
    </xf>
    <xf numFmtId="0" fontId="16" fillId="0" borderId="0" xfId="0" applyFont="1" applyAlignment="1">
      <alignment horizontal="left" vertical="top" wrapText="1"/>
    </xf>
    <xf numFmtId="0" fontId="16" fillId="0" borderId="29" xfId="0" applyFont="1" applyBorder="1" applyAlignment="1">
      <alignment horizontal="left" vertical="top" wrapText="1"/>
    </xf>
    <xf numFmtId="0" fontId="16" fillId="0" borderId="30" xfId="0" applyFont="1" applyBorder="1" applyAlignment="1">
      <alignment horizontal="left" vertical="top" wrapText="1"/>
    </xf>
    <xf numFmtId="0" fontId="16" fillId="0" borderId="24" xfId="0" applyFont="1" applyBorder="1" applyAlignment="1">
      <alignment horizontal="left" vertical="top" wrapText="1"/>
    </xf>
    <xf numFmtId="0" fontId="16" fillId="0" borderId="31" xfId="0" applyFont="1" applyBorder="1" applyAlignment="1">
      <alignment horizontal="left" vertical="top" wrapText="1"/>
    </xf>
    <xf numFmtId="0" fontId="3" fillId="0" borderId="21" xfId="3" applyBorder="1" applyAlignment="1">
      <alignment horizontal="left" vertical="center" wrapText="1"/>
    </xf>
    <xf numFmtId="0" fontId="3" fillId="0" borderId="22" xfId="3" applyBorder="1" applyAlignment="1">
      <alignment horizontal="left" vertical="center" wrapText="1"/>
    </xf>
    <xf numFmtId="0" fontId="8" fillId="8" borderId="2" xfId="0" applyFont="1" applyFill="1" applyBorder="1" applyAlignment="1">
      <alignment horizontal="left" wrapText="1"/>
    </xf>
    <xf numFmtId="0" fontId="0" fillId="0" borderId="0" xfId="0" applyAlignment="1">
      <alignment horizontal="center" vertical="center"/>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12" fillId="0" borderId="20" xfId="0" applyFont="1" applyBorder="1" applyAlignment="1">
      <alignment horizontal="left" vertical="top" wrapText="1"/>
    </xf>
    <xf numFmtId="0" fontId="12" fillId="0" borderId="0" xfId="0" applyFont="1" applyAlignment="1">
      <alignment horizontal="left" vertical="top" wrapText="1"/>
    </xf>
    <xf numFmtId="0" fontId="0" fillId="2" borderId="23"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2" borderId="33" xfId="0" applyFill="1" applyBorder="1" applyAlignment="1" applyProtection="1">
      <alignment horizontal="center"/>
      <protection locked="0"/>
    </xf>
    <xf numFmtId="0" fontId="0" fillId="17" borderId="2" xfId="0" applyFill="1" applyBorder="1" applyAlignment="1">
      <alignment horizontal="center" vertical="center" wrapText="1"/>
    </xf>
    <xf numFmtId="0" fontId="4" fillId="14" borderId="6" xfId="0" applyFont="1" applyFill="1" applyBorder="1" applyAlignment="1">
      <alignment horizontal="center"/>
    </xf>
    <xf numFmtId="0" fontId="4" fillId="14" borderId="7" xfId="0" applyFont="1" applyFill="1" applyBorder="1" applyAlignment="1">
      <alignment horizontal="center"/>
    </xf>
    <xf numFmtId="0" fontId="4" fillId="14" borderId="8" xfId="0" applyFont="1" applyFill="1" applyBorder="1" applyAlignment="1">
      <alignment horizontal="center"/>
    </xf>
    <xf numFmtId="0" fontId="0" fillId="0" borderId="9" xfId="0" applyBorder="1" applyAlignment="1">
      <alignment horizontal="left" vertical="top" wrapText="1"/>
    </xf>
    <xf numFmtId="169" fontId="0" fillId="0" borderId="0" xfId="4" applyNumberFormat="1" applyFont="1"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0" xfId="0" applyAlignment="1">
      <alignment horizontal="right"/>
    </xf>
    <xf numFmtId="0" fontId="0" fillId="0" borderId="4" xfId="0" applyBorder="1" applyAlignment="1">
      <alignment horizontal="right"/>
    </xf>
    <xf numFmtId="165" fontId="0" fillId="0" borderId="0" xfId="0" applyNumberFormat="1" applyAlignment="1">
      <alignment horizontal="right"/>
    </xf>
    <xf numFmtId="165" fontId="0" fillId="0" borderId="0" xfId="4" applyFont="1" applyBorder="1" applyAlignment="1">
      <alignment horizontal="right"/>
    </xf>
    <xf numFmtId="165" fontId="0" fillId="0" borderId="4" xfId="4" applyFont="1" applyBorder="1" applyAlignment="1">
      <alignment horizontal="right"/>
    </xf>
    <xf numFmtId="165" fontId="0" fillId="0" borderId="0" xfId="4" applyFont="1" applyBorder="1" applyAlignment="1">
      <alignment horizontal="center"/>
    </xf>
    <xf numFmtId="165" fontId="0" fillId="0" borderId="4" xfId="4" applyFont="1" applyBorder="1" applyAlignment="1">
      <alignment horizontal="center"/>
    </xf>
    <xf numFmtId="164" fontId="0" fillId="0" borderId="0" xfId="4" applyNumberFormat="1" applyFont="1" applyBorder="1" applyAlignment="1">
      <alignment horizontal="right"/>
    </xf>
    <xf numFmtId="9" fontId="0" fillId="0" borderId="1" xfId="1" applyFont="1" applyBorder="1" applyAlignment="1">
      <alignment horizontal="right"/>
    </xf>
    <xf numFmtId="9" fontId="0" fillId="0" borderId="12" xfId="1" applyFont="1" applyBorder="1" applyAlignment="1">
      <alignment horizontal="right"/>
    </xf>
  </cellXfs>
  <cellStyles count="8">
    <cellStyle name="20% - Accent3" xfId="6" builtinId="38"/>
    <cellStyle name="Accent1" xfId="5" builtinId="29"/>
    <cellStyle name="Comma" xfId="7" builtinId="3"/>
    <cellStyle name="Currency" xfId="4" builtinId="4"/>
    <cellStyle name="Hyperlink" xfId="3" builtinId="8"/>
    <cellStyle name="Normal" xfId="0" builtinId="0"/>
    <cellStyle name="Normal 3" xfId="2" xr:uid="{7501402B-2BFA-40D7-9966-C9AB996BE1A6}"/>
    <cellStyle name="Percent" xfId="1" builtinId="5"/>
  </cellStyles>
  <dxfs count="5">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0066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im, Rolanda" id="{A374C876-C4BC-444A-AD61-4A1523DBE489}" userId="S::rolanda.lim@peelregion.ca::502f5573-10b3-4e31-ad26-d26c1d6a28e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2-07-25T15:47:10.02" personId="{A374C876-C4BC-444A-AD61-4A1523DBE489}" id="{B8FF6375-4870-4CF0-8D38-B02ED58E4CBF}">
    <text>Vacancy Loss also applies to Misc. Income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ontario.ca/page/municipal-development-and-community-benefits-charges-and-parkland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FF90-B656-445C-B05B-344F18CF5112}">
  <sheetPr codeName="Sheet1">
    <tabColor theme="7"/>
  </sheetPr>
  <dimension ref="A1:D36"/>
  <sheetViews>
    <sheetView showGridLines="0" tabSelected="1" zoomScale="120" zoomScaleNormal="120" workbookViewId="0">
      <selection activeCell="D34" sqref="D34"/>
    </sheetView>
  </sheetViews>
  <sheetFormatPr defaultColWidth="8.88671875" defaultRowHeight="14.4" x14ac:dyDescent="0.3"/>
  <cols>
    <col min="1" max="1" width="55.109375" customWidth="1"/>
    <col min="2" max="2" width="56.44140625" customWidth="1"/>
    <col min="4" max="4" width="28.5546875" customWidth="1"/>
  </cols>
  <sheetData>
    <row r="1" spans="1:4" ht="18" x14ac:dyDescent="0.35">
      <c r="A1" s="69" t="s">
        <v>0</v>
      </c>
      <c r="C1" s="91" t="s">
        <v>1</v>
      </c>
      <c r="D1" s="92" t="s">
        <v>2</v>
      </c>
    </row>
    <row r="2" spans="1:4" ht="15.6" x14ac:dyDescent="0.3">
      <c r="A2" s="93" t="s">
        <v>3</v>
      </c>
      <c r="B2" s="94"/>
      <c r="C2" s="95" t="s">
        <v>1</v>
      </c>
      <c r="D2" s="92" t="s">
        <v>4</v>
      </c>
    </row>
    <row r="3" spans="1:4" x14ac:dyDescent="0.3">
      <c r="A3" s="143" t="s">
        <v>5</v>
      </c>
      <c r="B3" s="143"/>
    </row>
    <row r="4" spans="1:4" x14ac:dyDescent="0.3">
      <c r="A4" s="134" t="s">
        <v>153</v>
      </c>
      <c r="B4" s="1"/>
    </row>
    <row r="5" spans="1:4" x14ac:dyDescent="0.3">
      <c r="A5" s="134" t="s">
        <v>182</v>
      </c>
      <c r="B5" s="1"/>
    </row>
    <row r="6" spans="1:4" ht="28.8" x14ac:dyDescent="0.3">
      <c r="A6" s="134" t="s">
        <v>154</v>
      </c>
      <c r="B6" s="1"/>
    </row>
    <row r="7" spans="1:4" ht="28.8" x14ac:dyDescent="0.3">
      <c r="A7" s="134" t="s">
        <v>157</v>
      </c>
      <c r="B7" s="1"/>
    </row>
    <row r="8" spans="1:4" ht="28.8" x14ac:dyDescent="0.3">
      <c r="A8" s="134" t="s">
        <v>155</v>
      </c>
      <c r="B8" s="1"/>
    </row>
    <row r="9" spans="1:4" ht="43.2" x14ac:dyDescent="0.3">
      <c r="A9" s="134" t="s">
        <v>156</v>
      </c>
      <c r="B9" s="1"/>
    </row>
    <row r="10" spans="1:4" x14ac:dyDescent="0.3">
      <c r="A10" s="143" t="s">
        <v>6</v>
      </c>
      <c r="B10" s="143"/>
    </row>
    <row r="11" spans="1:4" hidden="1" x14ac:dyDescent="0.3">
      <c r="A11" s="96"/>
      <c r="B11" s="131" t="s">
        <v>7</v>
      </c>
    </row>
    <row r="12" spans="1:4" hidden="1" x14ac:dyDescent="0.3">
      <c r="A12" s="96"/>
      <c r="B12" s="131" t="s">
        <v>8</v>
      </c>
    </row>
    <row r="13" spans="1:4" hidden="1" x14ac:dyDescent="0.3">
      <c r="A13" s="96"/>
      <c r="B13" s="131" t="s">
        <v>9</v>
      </c>
    </row>
    <row r="14" spans="1:4" x14ac:dyDescent="0.3">
      <c r="A14" s="96" t="s">
        <v>10</v>
      </c>
      <c r="B14" s="70"/>
    </row>
    <row r="15" spans="1:4" x14ac:dyDescent="0.3">
      <c r="A15" s="134" t="s">
        <v>158</v>
      </c>
      <c r="B15" s="85"/>
    </row>
    <row r="16" spans="1:4" x14ac:dyDescent="0.3">
      <c r="A16" s="134" t="s">
        <v>159</v>
      </c>
      <c r="B16" s="85"/>
    </row>
    <row r="17" spans="1:2" ht="43.2" x14ac:dyDescent="0.3">
      <c r="A17" s="134" t="s">
        <v>160</v>
      </c>
      <c r="B17" s="85"/>
    </row>
    <row r="18" spans="1:2" hidden="1" x14ac:dyDescent="0.3">
      <c r="A18" s="96"/>
      <c r="B18" s="132" t="s">
        <v>11</v>
      </c>
    </row>
    <row r="19" spans="1:2" hidden="1" x14ac:dyDescent="0.3">
      <c r="A19" s="96"/>
      <c r="B19" s="132" t="s">
        <v>12</v>
      </c>
    </row>
    <row r="20" spans="1:2" hidden="1" x14ac:dyDescent="0.3">
      <c r="A20" s="96"/>
      <c r="B20" s="132" t="s">
        <v>13</v>
      </c>
    </row>
    <row r="21" spans="1:2" ht="28.8" x14ac:dyDescent="0.3">
      <c r="A21" s="134" t="s">
        <v>161</v>
      </c>
      <c r="B21" s="70"/>
    </row>
    <row r="22" spans="1:2" x14ac:dyDescent="0.3">
      <c r="A22" s="134" t="s">
        <v>162</v>
      </c>
      <c r="B22" s="70"/>
    </row>
    <row r="23" spans="1:2" ht="28.8" x14ac:dyDescent="0.3">
      <c r="A23" s="134" t="s">
        <v>163</v>
      </c>
      <c r="B23" s="86"/>
    </row>
    <row r="24" spans="1:2" x14ac:dyDescent="0.3">
      <c r="A24" s="96" t="s">
        <v>14</v>
      </c>
      <c r="B24" s="86"/>
    </row>
    <row r="25" spans="1:2" ht="52.2" customHeight="1" x14ac:dyDescent="0.3">
      <c r="A25" s="134" t="s">
        <v>164</v>
      </c>
      <c r="B25" s="1"/>
    </row>
    <row r="26" spans="1:2" x14ac:dyDescent="0.3">
      <c r="A26" s="143" t="s">
        <v>15</v>
      </c>
      <c r="B26" s="143"/>
    </row>
    <row r="27" spans="1:2" x14ac:dyDescent="0.3">
      <c r="A27" s="134" t="s">
        <v>165</v>
      </c>
      <c r="B27" s="133"/>
    </row>
    <row r="28" spans="1:2" ht="20.399999999999999" customHeight="1" x14ac:dyDescent="0.3">
      <c r="A28" s="134" t="s">
        <v>166</v>
      </c>
      <c r="B28" s="1"/>
    </row>
    <row r="29" spans="1:2" x14ac:dyDescent="0.3">
      <c r="A29" s="96" t="s">
        <v>16</v>
      </c>
      <c r="B29" s="1"/>
    </row>
    <row r="30" spans="1:2" ht="28.8" x14ac:dyDescent="0.3">
      <c r="A30" s="134" t="s">
        <v>167</v>
      </c>
      <c r="B30" s="1"/>
    </row>
    <row r="31" spans="1:2" x14ac:dyDescent="0.3">
      <c r="A31" s="134" t="s">
        <v>168</v>
      </c>
      <c r="B31" s="1"/>
    </row>
    <row r="32" spans="1:2" ht="37.200000000000003" customHeight="1" x14ac:dyDescent="0.3">
      <c r="A32" s="96" t="s">
        <v>17</v>
      </c>
      <c r="B32" s="133"/>
    </row>
    <row r="33" spans="1:2" x14ac:dyDescent="0.3">
      <c r="A33" s="143" t="s">
        <v>18</v>
      </c>
      <c r="B33" s="143"/>
    </row>
    <row r="34" spans="1:2" x14ac:dyDescent="0.3">
      <c r="A34" s="96" t="s">
        <v>170</v>
      </c>
      <c r="B34" s="2"/>
    </row>
    <row r="35" spans="1:2" x14ac:dyDescent="0.3">
      <c r="A35" s="96" t="s">
        <v>169</v>
      </c>
      <c r="B35" s="135"/>
    </row>
    <row r="36" spans="1:2" ht="99.6" customHeight="1" x14ac:dyDescent="0.3">
      <c r="A36" s="3" t="s">
        <v>171</v>
      </c>
      <c r="B36" s="2"/>
    </row>
  </sheetData>
  <sheetProtection formatColumns="0" formatRows="0"/>
  <mergeCells count="4">
    <mergeCell ref="A3:B3"/>
    <mergeCell ref="A10:B10"/>
    <mergeCell ref="A26:B26"/>
    <mergeCell ref="A33:B33"/>
  </mergeCells>
  <dataValidations count="1">
    <dataValidation type="list" allowBlank="1" showInputMessage="1" showErrorMessage="1" promptTitle="SELECT" prompt="Select from drop down menu" sqref="B34" xr:uid="{EA4824DB-18F3-49FF-AF87-D684BC65C211}">
      <formula1>$B$35:$B$35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9CF7-65A4-46A2-8C7E-D12743C64062}">
  <sheetPr codeName="Sheet3">
    <tabColor theme="7"/>
  </sheetPr>
  <dimension ref="A1:H46"/>
  <sheetViews>
    <sheetView showGridLines="0" topLeftCell="A21" zoomScale="120" zoomScaleNormal="120" workbookViewId="0">
      <selection activeCell="E41" sqref="E41"/>
    </sheetView>
  </sheetViews>
  <sheetFormatPr defaultColWidth="8.88671875" defaultRowHeight="14.4" x14ac:dyDescent="0.3"/>
  <cols>
    <col min="1" max="1" width="66.33203125" style="51" customWidth="1"/>
    <col min="2" max="2" width="17.6640625" style="62" customWidth="1"/>
    <col min="3" max="3" width="58" style="51" customWidth="1"/>
    <col min="4" max="4" width="15.6640625" style="51" customWidth="1"/>
    <col min="5" max="5" width="38.5546875" style="51" customWidth="1"/>
    <col min="6" max="6" width="8.88671875" style="51" customWidth="1"/>
    <col min="7" max="16384" width="8.88671875" style="51"/>
  </cols>
  <sheetData>
    <row r="1" spans="1:8" ht="18" x14ac:dyDescent="0.3">
      <c r="A1" s="50" t="s">
        <v>19</v>
      </c>
      <c r="D1" s="52"/>
      <c r="E1" s="53" t="s">
        <v>2</v>
      </c>
    </row>
    <row r="2" spans="1:8" ht="28.8" x14ac:dyDescent="0.3">
      <c r="A2" s="64" t="s">
        <v>20</v>
      </c>
      <c r="B2" s="65" t="s">
        <v>21</v>
      </c>
      <c r="C2" s="66" t="s">
        <v>22</v>
      </c>
      <c r="D2" s="55"/>
      <c r="E2" s="53" t="s">
        <v>4</v>
      </c>
    </row>
    <row r="3" spans="1:8" x14ac:dyDescent="0.3">
      <c r="A3" s="74" t="s">
        <v>23</v>
      </c>
      <c r="B3" s="75"/>
      <c r="C3" s="74"/>
    </row>
    <row r="4" spans="1:8" x14ac:dyDescent="0.3">
      <c r="A4" s="76" t="s">
        <v>24</v>
      </c>
      <c r="B4" s="116"/>
      <c r="C4" s="117"/>
    </row>
    <row r="5" spans="1:8" ht="28.95" customHeight="1" x14ac:dyDescent="0.3">
      <c r="A5" s="76" t="s">
        <v>183</v>
      </c>
      <c r="B5" s="116"/>
      <c r="C5" s="117"/>
      <c r="D5" s="144" t="s">
        <v>25</v>
      </c>
      <c r="E5" s="145"/>
      <c r="F5" s="145"/>
      <c r="G5" s="146"/>
    </row>
    <row r="6" spans="1:8" x14ac:dyDescent="0.3">
      <c r="A6" s="76" t="s">
        <v>26</v>
      </c>
      <c r="B6" s="116"/>
      <c r="C6" s="117"/>
    </row>
    <row r="7" spans="1:8" x14ac:dyDescent="0.3">
      <c r="A7" s="76" t="s">
        <v>27</v>
      </c>
      <c r="B7" s="78">
        <f>SUM(B8:B11,B18:B20)</f>
        <v>0</v>
      </c>
      <c r="C7" s="81"/>
    </row>
    <row r="8" spans="1:8" x14ac:dyDescent="0.3">
      <c r="A8" s="137" t="s">
        <v>177</v>
      </c>
      <c r="B8" s="116"/>
      <c r="C8" s="117"/>
    </row>
    <row r="9" spans="1:8" ht="28.8" x14ac:dyDescent="0.3">
      <c r="A9" s="137" t="s">
        <v>176</v>
      </c>
      <c r="B9" s="116"/>
      <c r="C9" s="117"/>
    </row>
    <row r="10" spans="1:8" x14ac:dyDescent="0.3">
      <c r="A10" s="79" t="s">
        <v>28</v>
      </c>
      <c r="B10" s="116"/>
      <c r="C10" s="117"/>
    </row>
    <row r="11" spans="1:8" ht="14.4" customHeight="1" x14ac:dyDescent="0.3">
      <c r="A11" s="79" t="s">
        <v>29</v>
      </c>
      <c r="B11" s="78">
        <f>SUM(B12:B17)</f>
        <v>0</v>
      </c>
      <c r="C11" s="88"/>
      <c r="D11" s="149" t="s">
        <v>30</v>
      </c>
      <c r="E11" s="150"/>
      <c r="F11" s="150"/>
      <c r="G11" s="151"/>
      <c r="H11" s="87"/>
    </row>
    <row r="12" spans="1:8" ht="14.4" customHeight="1" x14ac:dyDescent="0.3">
      <c r="A12" s="89" t="s">
        <v>31</v>
      </c>
      <c r="B12" s="116"/>
      <c r="C12" s="118"/>
      <c r="D12" s="152"/>
      <c r="E12" s="153"/>
      <c r="F12" s="153"/>
      <c r="G12" s="154"/>
      <c r="H12" s="87"/>
    </row>
    <row r="13" spans="1:8" x14ac:dyDescent="0.3">
      <c r="A13" s="89" t="s">
        <v>32</v>
      </c>
      <c r="B13" s="116"/>
      <c r="C13" s="118"/>
      <c r="D13" s="152"/>
      <c r="E13" s="153"/>
      <c r="F13" s="153"/>
      <c r="G13" s="154"/>
      <c r="H13" s="87"/>
    </row>
    <row r="14" spans="1:8" x14ac:dyDescent="0.3">
      <c r="A14" s="89" t="s">
        <v>33</v>
      </c>
      <c r="B14" s="116"/>
      <c r="C14" s="118"/>
      <c r="D14" s="152"/>
      <c r="E14" s="153"/>
      <c r="F14" s="153"/>
      <c r="G14" s="154"/>
      <c r="H14" s="87"/>
    </row>
    <row r="15" spans="1:8" x14ac:dyDescent="0.3">
      <c r="A15" s="138" t="s">
        <v>178</v>
      </c>
      <c r="B15" s="116"/>
      <c r="C15" s="118"/>
      <c r="D15" s="152"/>
      <c r="E15" s="153"/>
      <c r="F15" s="153"/>
      <c r="G15" s="154"/>
      <c r="H15" s="87"/>
    </row>
    <row r="16" spans="1:8" x14ac:dyDescent="0.3">
      <c r="A16" s="89" t="s">
        <v>34</v>
      </c>
      <c r="B16" s="116"/>
      <c r="C16" s="118"/>
      <c r="D16" s="152"/>
      <c r="E16" s="153"/>
      <c r="F16" s="153"/>
      <c r="G16" s="154"/>
      <c r="H16" s="87"/>
    </row>
    <row r="17" spans="1:8" x14ac:dyDescent="0.3">
      <c r="A17" s="89" t="s">
        <v>35</v>
      </c>
      <c r="B17" s="116"/>
      <c r="C17" s="118"/>
      <c r="D17" s="155"/>
      <c r="E17" s="156"/>
      <c r="F17" s="156"/>
      <c r="G17" s="157"/>
      <c r="H17" s="87"/>
    </row>
    <row r="18" spans="1:8" x14ac:dyDescent="0.3">
      <c r="A18" s="79" t="s">
        <v>36</v>
      </c>
      <c r="B18" s="116"/>
      <c r="C18" s="117"/>
    </row>
    <row r="19" spans="1:8" x14ac:dyDescent="0.3">
      <c r="A19" s="79" t="s">
        <v>37</v>
      </c>
      <c r="B19" s="116"/>
      <c r="C19" s="117"/>
    </row>
    <row r="20" spans="1:8" x14ac:dyDescent="0.3">
      <c r="A20" s="79" t="s">
        <v>38</v>
      </c>
      <c r="B20" s="116"/>
      <c r="C20" s="117"/>
    </row>
    <row r="21" spans="1:8" x14ac:dyDescent="0.3">
      <c r="A21" s="76" t="s">
        <v>39</v>
      </c>
      <c r="B21" s="116"/>
      <c r="C21" s="117"/>
    </row>
    <row r="22" spans="1:8" x14ac:dyDescent="0.3">
      <c r="A22" s="96" t="s">
        <v>179</v>
      </c>
      <c r="B22" s="116"/>
      <c r="C22" s="117"/>
    </row>
    <row r="23" spans="1:8" x14ac:dyDescent="0.3">
      <c r="A23" s="76" t="s">
        <v>40</v>
      </c>
      <c r="B23" s="116"/>
      <c r="C23" s="117"/>
    </row>
    <row r="24" spans="1:8" x14ac:dyDescent="0.3">
      <c r="A24" s="76" t="s">
        <v>41</v>
      </c>
      <c r="B24" s="116"/>
      <c r="C24" s="117"/>
    </row>
    <row r="25" spans="1:8" x14ac:dyDescent="0.3">
      <c r="A25" s="76" t="s">
        <v>42</v>
      </c>
      <c r="B25" s="78">
        <f>SUM(B6:B7,B21:B24)</f>
        <v>0</v>
      </c>
      <c r="C25" s="81"/>
    </row>
    <row r="26" spans="1:8" ht="28.8" x14ac:dyDescent="0.3">
      <c r="A26" s="134" t="s">
        <v>172</v>
      </c>
      <c r="B26" s="119"/>
      <c r="C26" s="120"/>
      <c r="D26" s="147" t="s">
        <v>43</v>
      </c>
      <c r="E26" s="148"/>
    </row>
    <row r="27" spans="1:8" ht="28.8" x14ac:dyDescent="0.3">
      <c r="A27" s="90" t="s">
        <v>44</v>
      </c>
      <c r="B27" s="116"/>
      <c r="C27" s="118"/>
      <c r="D27" s="148"/>
      <c r="E27" s="148"/>
    </row>
    <row r="28" spans="1:8" ht="28.8" x14ac:dyDescent="0.3">
      <c r="A28" s="140" t="s">
        <v>180</v>
      </c>
      <c r="B28" s="116"/>
      <c r="C28" s="118"/>
      <c r="D28" s="148"/>
      <c r="E28" s="148"/>
    </row>
    <row r="29" spans="1:8" x14ac:dyDescent="0.3">
      <c r="A29" s="90" t="s">
        <v>184</v>
      </c>
      <c r="B29" s="116"/>
      <c r="C29" s="118"/>
      <c r="D29" s="139"/>
      <c r="E29" s="139"/>
    </row>
    <row r="30" spans="1:8" x14ac:dyDescent="0.3">
      <c r="A30" s="76" t="s">
        <v>45</v>
      </c>
      <c r="B30" s="116"/>
      <c r="C30" s="117"/>
    </row>
    <row r="31" spans="1:8" x14ac:dyDescent="0.3">
      <c r="A31" s="76"/>
      <c r="B31" s="77"/>
      <c r="C31" s="76"/>
    </row>
    <row r="32" spans="1:8" x14ac:dyDescent="0.3">
      <c r="A32" s="76" t="s">
        <v>46</v>
      </c>
      <c r="B32" s="78">
        <f>B25-SUM(B26:B30)</f>
        <v>0</v>
      </c>
      <c r="C32" s="81"/>
    </row>
    <row r="33" spans="1:3" x14ac:dyDescent="0.3">
      <c r="A33" s="76"/>
      <c r="B33" s="77"/>
      <c r="C33" s="76"/>
    </row>
    <row r="34" spans="1:3" x14ac:dyDescent="0.3">
      <c r="A34" s="74" t="s">
        <v>47</v>
      </c>
      <c r="B34" s="75"/>
      <c r="C34" s="74"/>
    </row>
    <row r="35" spans="1:3" x14ac:dyDescent="0.3">
      <c r="A35" s="76" t="s">
        <v>48</v>
      </c>
      <c r="B35" s="116"/>
      <c r="C35" s="117"/>
    </row>
    <row r="36" spans="1:3" x14ac:dyDescent="0.3">
      <c r="A36" s="76" t="s">
        <v>49</v>
      </c>
      <c r="B36" s="116"/>
      <c r="C36" s="117"/>
    </row>
    <row r="37" spans="1:3" x14ac:dyDescent="0.3">
      <c r="A37" s="76" t="s">
        <v>50</v>
      </c>
      <c r="B37" s="116"/>
      <c r="C37" s="117"/>
    </row>
    <row r="38" spans="1:3" x14ac:dyDescent="0.3">
      <c r="A38" s="76" t="s">
        <v>51</v>
      </c>
      <c r="B38" s="116"/>
      <c r="C38" s="117"/>
    </row>
    <row r="39" spans="1:3" x14ac:dyDescent="0.3">
      <c r="A39" s="76"/>
      <c r="B39" s="77"/>
      <c r="C39" s="76"/>
    </row>
    <row r="40" spans="1:3" x14ac:dyDescent="0.3">
      <c r="A40" s="76" t="s">
        <v>52</v>
      </c>
      <c r="B40" s="78">
        <f>SUM(B35:B38)</f>
        <v>0</v>
      </c>
      <c r="C40" s="81"/>
    </row>
    <row r="41" spans="1:3" x14ac:dyDescent="0.3">
      <c r="A41" s="76"/>
      <c r="B41" s="77"/>
      <c r="C41" s="76"/>
    </row>
    <row r="42" spans="1:3" ht="28.8" x14ac:dyDescent="0.3">
      <c r="A42" s="76" t="s">
        <v>53</v>
      </c>
      <c r="B42" s="78" t="str">
        <f>IF(B32=B40,"Yes","No")</f>
        <v>Yes</v>
      </c>
      <c r="C42" s="117"/>
    </row>
    <row r="43" spans="1:3" x14ac:dyDescent="0.3">
      <c r="A43" s="76"/>
      <c r="B43" s="77"/>
      <c r="C43" s="76"/>
    </row>
    <row r="44" spans="1:3" x14ac:dyDescent="0.3">
      <c r="A44" s="74" t="s">
        <v>54</v>
      </c>
      <c r="B44" s="75"/>
      <c r="C44" s="74"/>
    </row>
    <row r="45" spans="1:3" x14ac:dyDescent="0.3">
      <c r="A45" s="76" t="s">
        <v>55</v>
      </c>
      <c r="B45" s="116"/>
      <c r="C45" s="117"/>
    </row>
    <row r="46" spans="1:3" x14ac:dyDescent="0.3">
      <c r="A46" s="76" t="s">
        <v>56</v>
      </c>
      <c r="B46" s="80" t="e">
        <f>B45/'3. Proposed Rents'!$B$10</f>
        <v>#DIV/0!</v>
      </c>
      <c r="C46" s="81"/>
    </row>
  </sheetData>
  <sheetProtection formatColumns="0" formatRows="0"/>
  <mergeCells count="3">
    <mergeCell ref="D5:G5"/>
    <mergeCell ref="D26:E28"/>
    <mergeCell ref="D11:G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54F82-D004-453A-9D01-A660558E2AEC}">
  <sheetPr codeName="Sheet2">
    <tabColor theme="7"/>
  </sheetPr>
  <dimension ref="A1:R33"/>
  <sheetViews>
    <sheetView showGridLines="0" topLeftCell="A36" zoomScale="120" zoomScaleNormal="120" workbookViewId="0">
      <selection activeCell="E10" sqref="E10"/>
    </sheetView>
  </sheetViews>
  <sheetFormatPr defaultRowHeight="14.4" outlineLevelCol="1" x14ac:dyDescent="0.3"/>
  <cols>
    <col min="1" max="1" width="57.88671875" customWidth="1"/>
    <col min="2" max="2" width="10.44140625" bestFit="1" customWidth="1"/>
    <col min="3" max="3" width="16.33203125" bestFit="1" customWidth="1"/>
    <col min="4" max="4" width="13.109375" bestFit="1" customWidth="1"/>
    <col min="5" max="5" width="20.109375" customWidth="1"/>
    <col min="6" max="6" width="8.88671875" customWidth="1"/>
    <col min="7" max="7" width="9.109375" customWidth="1"/>
    <col min="8" max="8" width="8.88671875" hidden="1" customWidth="1" outlineLevel="1"/>
    <col min="9" max="9" width="13.88671875" hidden="1" customWidth="1" outlineLevel="1"/>
    <col min="10" max="12" width="9.6640625" hidden="1" customWidth="1" outlineLevel="1"/>
    <col min="13" max="13" width="8.88671875" hidden="1" customWidth="1" outlineLevel="1"/>
    <col min="14" max="17" width="9.6640625" hidden="1" customWidth="1" outlineLevel="1"/>
    <col min="18" max="18" width="9.109375" hidden="1" customWidth="1" collapsed="1"/>
  </cols>
  <sheetData>
    <row r="1" spans="1:17" ht="18" x14ac:dyDescent="0.35">
      <c r="A1" s="69" t="s">
        <v>57</v>
      </c>
    </row>
    <row r="2" spans="1:17" ht="15.6" x14ac:dyDescent="0.3">
      <c r="A2" s="160" t="s">
        <v>58</v>
      </c>
      <c r="B2" s="160"/>
      <c r="C2" s="160"/>
      <c r="D2" s="160"/>
      <c r="E2" s="160"/>
    </row>
    <row r="3" spans="1:17" ht="28.8" x14ac:dyDescent="0.3">
      <c r="A3" s="4" t="s">
        <v>59</v>
      </c>
      <c r="B3" s="4" t="s">
        <v>60</v>
      </c>
      <c r="C3" s="4" t="s">
        <v>61</v>
      </c>
      <c r="D3" s="4" t="s">
        <v>62</v>
      </c>
      <c r="E3" s="4" t="s">
        <v>63</v>
      </c>
      <c r="H3" s="161" t="s">
        <v>64</v>
      </c>
      <c r="I3" s="161"/>
      <c r="J3" s="161"/>
      <c r="K3" s="161"/>
      <c r="L3" s="161"/>
      <c r="M3" s="161"/>
      <c r="N3" s="161"/>
      <c r="O3" s="161"/>
      <c r="P3" s="161"/>
      <c r="Q3" s="161"/>
    </row>
    <row r="4" spans="1:17" x14ac:dyDescent="0.3">
      <c r="A4" s="82" t="s">
        <v>181</v>
      </c>
      <c r="B4" s="166"/>
      <c r="C4" s="167"/>
      <c r="D4" s="167"/>
      <c r="E4" s="168"/>
    </row>
    <row r="5" spans="1:17" x14ac:dyDescent="0.3">
      <c r="A5" s="142" t="s">
        <v>65</v>
      </c>
      <c r="B5" s="169"/>
      <c r="C5" s="169"/>
      <c r="D5" s="169"/>
      <c r="E5" s="169"/>
    </row>
    <row r="6" spans="1:17" x14ac:dyDescent="0.3">
      <c r="A6" s="3" t="s">
        <v>66</v>
      </c>
      <c r="B6" s="113"/>
      <c r="C6" s="114"/>
      <c r="D6" s="125"/>
      <c r="E6" s="127">
        <v>1003</v>
      </c>
      <c r="H6" t="s">
        <v>67</v>
      </c>
      <c r="I6" s="40">
        <v>1100</v>
      </c>
      <c r="J6" s="40">
        <v>1480</v>
      </c>
      <c r="K6" s="40">
        <v>1620</v>
      </c>
      <c r="L6" s="40">
        <v>1794</v>
      </c>
      <c r="M6" s="40"/>
      <c r="N6" s="40">
        <v>1300</v>
      </c>
      <c r="O6" s="40">
        <v>1570</v>
      </c>
      <c r="P6" s="40">
        <v>1680</v>
      </c>
      <c r="Q6" s="40">
        <v>1800</v>
      </c>
    </row>
    <row r="7" spans="1:17" x14ac:dyDescent="0.3">
      <c r="A7" s="3" t="s">
        <v>68</v>
      </c>
      <c r="B7" s="113"/>
      <c r="C7" s="113"/>
      <c r="D7" s="126"/>
      <c r="E7" s="127">
        <v>1418</v>
      </c>
    </row>
    <row r="8" spans="1:17" x14ac:dyDescent="0.3">
      <c r="A8" s="3" t="s">
        <v>69</v>
      </c>
      <c r="B8" s="113"/>
      <c r="C8" s="113"/>
      <c r="D8" s="126"/>
      <c r="E8" s="127">
        <v>1634</v>
      </c>
    </row>
    <row r="9" spans="1:17" x14ac:dyDescent="0.3">
      <c r="A9" s="3" t="s">
        <v>70</v>
      </c>
      <c r="B9" s="113"/>
      <c r="C9" s="113"/>
      <c r="D9" s="126"/>
      <c r="E9" s="127">
        <v>1833</v>
      </c>
    </row>
    <row r="10" spans="1:17" x14ac:dyDescent="0.3">
      <c r="A10" s="3" t="s">
        <v>71</v>
      </c>
      <c r="B10" s="73">
        <f>SUM(B6:B9)</f>
        <v>0</v>
      </c>
      <c r="C10" s="130" t="e">
        <f>SUMPRODUCT(C6:C9,B6:B9)/B10</f>
        <v>#DIV/0!</v>
      </c>
      <c r="D10" s="127" t="e">
        <f>SUMPRODUCT(D6:D9,B6:B9)/B10</f>
        <v>#DIV/0!</v>
      </c>
      <c r="E10" s="127"/>
    </row>
    <row r="11" spans="1:17" x14ac:dyDescent="0.3">
      <c r="A11" s="84" t="s">
        <v>72</v>
      </c>
      <c r="B11" s="71"/>
      <c r="C11" s="71"/>
      <c r="D11" s="128"/>
      <c r="E11" s="128"/>
    </row>
    <row r="12" spans="1:17" x14ac:dyDescent="0.3">
      <c r="A12" s="3" t="s">
        <v>66</v>
      </c>
      <c r="B12" s="113"/>
      <c r="C12" s="114"/>
      <c r="D12" s="125"/>
      <c r="E12" s="127"/>
    </row>
    <row r="13" spans="1:17" x14ac:dyDescent="0.3">
      <c r="A13" s="3" t="s">
        <v>68</v>
      </c>
      <c r="B13" s="113"/>
      <c r="C13" s="113"/>
      <c r="D13" s="126"/>
      <c r="E13" s="127"/>
    </row>
    <row r="14" spans="1:17" x14ac:dyDescent="0.3">
      <c r="A14" s="3" t="s">
        <v>69</v>
      </c>
      <c r="B14" s="113"/>
      <c r="C14" s="113"/>
      <c r="D14" s="126"/>
      <c r="E14" s="127"/>
    </row>
    <row r="15" spans="1:17" x14ac:dyDescent="0.3">
      <c r="A15" s="3" t="s">
        <v>70</v>
      </c>
      <c r="B15" s="113"/>
      <c r="C15" s="113"/>
      <c r="D15" s="126"/>
      <c r="E15" s="127"/>
    </row>
    <row r="16" spans="1:17" x14ac:dyDescent="0.3">
      <c r="A16" s="3" t="s">
        <v>73</v>
      </c>
      <c r="B16" s="73">
        <f>SUM(B12:B15)</f>
        <v>0</v>
      </c>
      <c r="C16" s="129" t="e">
        <f>SUMPRODUCT(C12:C15,B12:B15)/B16</f>
        <v>#DIV/0!</v>
      </c>
      <c r="D16" s="127" t="e">
        <f>SUMPRODUCT(D12:D15,B12:B15)/B16</f>
        <v>#DIV/0!</v>
      </c>
      <c r="E16" s="127"/>
    </row>
    <row r="17" spans="1:5" x14ac:dyDescent="0.3">
      <c r="A17" s="72" t="s">
        <v>74</v>
      </c>
      <c r="B17" s="71"/>
      <c r="C17" s="71"/>
      <c r="D17" s="71"/>
      <c r="E17" s="71"/>
    </row>
    <row r="18" spans="1:5" ht="28.8" x14ac:dyDescent="0.3">
      <c r="A18" s="3" t="s">
        <v>173</v>
      </c>
      <c r="B18" s="141"/>
      <c r="C18" s="141"/>
      <c r="D18" s="115"/>
      <c r="E18" s="141"/>
    </row>
    <row r="19" spans="1:5" x14ac:dyDescent="0.3">
      <c r="A19" s="71" t="s">
        <v>75</v>
      </c>
      <c r="B19" s="71"/>
      <c r="C19" s="71"/>
      <c r="D19" s="71"/>
      <c r="E19" s="71"/>
    </row>
    <row r="20" spans="1:5" ht="28.8" x14ac:dyDescent="0.3">
      <c r="A20" s="3" t="s">
        <v>174</v>
      </c>
      <c r="B20" s="141"/>
      <c r="C20" s="141"/>
      <c r="D20" s="115"/>
      <c r="E20" s="141"/>
    </row>
    <row r="21" spans="1:5" x14ac:dyDescent="0.3">
      <c r="A21" s="3" t="s">
        <v>76</v>
      </c>
      <c r="B21" s="141"/>
      <c r="C21" s="141"/>
      <c r="D21" s="115"/>
      <c r="E21" s="141"/>
    </row>
    <row r="23" spans="1:5" x14ac:dyDescent="0.3">
      <c r="A23" s="67" t="s">
        <v>77</v>
      </c>
      <c r="B23" s="68">
        <f>SUM(B24:B27)</f>
        <v>0</v>
      </c>
    </row>
    <row r="24" spans="1:5" x14ac:dyDescent="0.3">
      <c r="A24" s="67" t="s">
        <v>78</v>
      </c>
      <c r="B24" s="68">
        <f>SUM(B6,B12)</f>
        <v>0</v>
      </c>
      <c r="C24" s="41" t="e">
        <f>B24/B23</f>
        <v>#DIV/0!</v>
      </c>
    </row>
    <row r="25" spans="1:5" x14ac:dyDescent="0.3">
      <c r="A25" s="67" t="s">
        <v>68</v>
      </c>
      <c r="B25" s="68">
        <f>SUM(B7,B13)</f>
        <v>0</v>
      </c>
      <c r="C25" s="41" t="e">
        <f>B25/B23</f>
        <v>#DIV/0!</v>
      </c>
    </row>
    <row r="26" spans="1:5" x14ac:dyDescent="0.3">
      <c r="A26" s="67" t="s">
        <v>69</v>
      </c>
      <c r="B26" s="68">
        <f>SUM(B8,B14)</f>
        <v>0</v>
      </c>
      <c r="C26" s="41" t="e">
        <f>B26/B23</f>
        <v>#DIV/0!</v>
      </c>
    </row>
    <row r="27" spans="1:5" x14ac:dyDescent="0.3">
      <c r="A27" s="67" t="s">
        <v>79</v>
      </c>
      <c r="B27" s="68">
        <f t="shared" ref="B27" si="0">SUM(B9,B15)</f>
        <v>0</v>
      </c>
      <c r="C27" s="41" t="e">
        <f>B27/B23</f>
        <v>#DIV/0!</v>
      </c>
    </row>
    <row r="28" spans="1:5" ht="15" thickBot="1" x14ac:dyDescent="0.35"/>
    <row r="29" spans="1:5" x14ac:dyDescent="0.3">
      <c r="A29" s="162" t="s">
        <v>80</v>
      </c>
      <c r="B29" s="163"/>
      <c r="C29" s="163"/>
      <c r="D29" s="163"/>
      <c r="E29" s="163"/>
    </row>
    <row r="30" spans="1:5" x14ac:dyDescent="0.3">
      <c r="A30" s="164"/>
      <c r="B30" s="165"/>
      <c r="C30" s="165"/>
      <c r="D30" s="165"/>
      <c r="E30" s="165"/>
    </row>
    <row r="31" spans="1:5" x14ac:dyDescent="0.3">
      <c r="A31" s="164"/>
      <c r="B31" s="165"/>
      <c r="C31" s="165"/>
      <c r="D31" s="165"/>
      <c r="E31" s="165"/>
    </row>
    <row r="32" spans="1:5" x14ac:dyDescent="0.3">
      <c r="A32" s="164"/>
      <c r="B32" s="165"/>
      <c r="C32" s="165"/>
      <c r="D32" s="165"/>
      <c r="E32" s="165"/>
    </row>
    <row r="33" spans="1:5" ht="15" thickBot="1" x14ac:dyDescent="0.35">
      <c r="A33" s="158" t="s">
        <v>81</v>
      </c>
      <c r="B33" s="159"/>
      <c r="C33" s="159"/>
      <c r="D33" s="159"/>
      <c r="E33" s="159"/>
    </row>
  </sheetData>
  <sheetProtection formatColumns="0" formatRows="0"/>
  <mergeCells count="6">
    <mergeCell ref="A33:E33"/>
    <mergeCell ref="A2:E2"/>
    <mergeCell ref="H3:Q3"/>
    <mergeCell ref="A29:E32"/>
    <mergeCell ref="B4:E4"/>
    <mergeCell ref="B5:E5"/>
  </mergeCells>
  <hyperlinks>
    <hyperlink ref="A33" r:id="rId1" xr:uid="{83245AC0-39DF-43EE-B206-DAC47CAE783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B039D-E44E-4D10-B6C0-3C9A7EDCB2F3}">
  <sheetPr codeName="Sheet5">
    <tabColor theme="7"/>
  </sheetPr>
  <dimension ref="A1:E28"/>
  <sheetViews>
    <sheetView showGridLines="0" zoomScale="120" zoomScaleNormal="120" workbookViewId="0">
      <pane ySplit="2" topLeftCell="A3" activePane="bottomLeft" state="frozen"/>
      <selection pane="bottomLeft" activeCell="E19" sqref="E19"/>
    </sheetView>
  </sheetViews>
  <sheetFormatPr defaultColWidth="8.88671875" defaultRowHeight="14.4" x14ac:dyDescent="0.3"/>
  <cols>
    <col min="1" max="1" width="45.33203125" style="99" customWidth="1"/>
    <col min="2" max="2" width="18.33203125" style="98" customWidth="1"/>
    <col min="3" max="3" width="53.33203125" style="99" customWidth="1"/>
    <col min="4" max="4" width="10.109375" style="99" bestFit="1" customWidth="1"/>
    <col min="5" max="5" width="41" style="99" customWidth="1"/>
    <col min="6" max="16384" width="8.88671875" style="99"/>
  </cols>
  <sheetData>
    <row r="1" spans="1:5" ht="18" x14ac:dyDescent="0.35">
      <c r="A1" s="97" t="s">
        <v>82</v>
      </c>
      <c r="D1" s="52"/>
      <c r="E1" s="53" t="s">
        <v>2</v>
      </c>
    </row>
    <row r="2" spans="1:5" ht="28.8" x14ac:dyDescent="0.3">
      <c r="A2" s="54" t="s">
        <v>83</v>
      </c>
      <c r="B2" s="56" t="s">
        <v>21</v>
      </c>
      <c r="C2" s="100" t="s">
        <v>22</v>
      </c>
      <c r="D2" s="101"/>
      <c r="E2" s="53" t="s">
        <v>4</v>
      </c>
    </row>
    <row r="3" spans="1:5" x14ac:dyDescent="0.3">
      <c r="A3" s="102" t="s">
        <v>84</v>
      </c>
      <c r="B3" s="102"/>
      <c r="C3" s="102"/>
      <c r="D3" s="51"/>
      <c r="E3" s="53"/>
    </row>
    <row r="4" spans="1:5" x14ac:dyDescent="0.3">
      <c r="A4" s="103" t="s">
        <v>85</v>
      </c>
      <c r="B4" s="57">
        <f>SUM(B5:B6)</f>
        <v>0</v>
      </c>
      <c r="C4" s="104"/>
    </row>
    <row r="5" spans="1:5" x14ac:dyDescent="0.3">
      <c r="A5" s="103" t="s">
        <v>86</v>
      </c>
      <c r="B5" s="57">
        <f>SUMPRODUCT('3. Proposed Rents'!D12:D15,'3. Proposed Rents'!B12:B15)*12</f>
        <v>0</v>
      </c>
      <c r="C5" s="105"/>
    </row>
    <row r="6" spans="1:5" x14ac:dyDescent="0.3">
      <c r="A6" s="103" t="s">
        <v>87</v>
      </c>
      <c r="B6" s="57">
        <f>SUMPRODUCT('3. Proposed Rents'!B6:B9,'3. Proposed Rents'!D6:D9)*12</f>
        <v>0</v>
      </c>
      <c r="C6" s="106"/>
    </row>
    <row r="7" spans="1:5" x14ac:dyDescent="0.3">
      <c r="A7" s="103" t="s">
        <v>88</v>
      </c>
      <c r="B7" s="57">
        <f>'3. Proposed Rents'!D20*12</f>
        <v>0</v>
      </c>
      <c r="C7" s="106"/>
    </row>
    <row r="8" spans="1:5" x14ac:dyDescent="0.3">
      <c r="A8" s="103" t="s">
        <v>89</v>
      </c>
      <c r="B8" s="57">
        <f>'3. Proposed Rents'!D18*12</f>
        <v>0</v>
      </c>
      <c r="C8" s="106"/>
    </row>
    <row r="9" spans="1:5" x14ac:dyDescent="0.3">
      <c r="A9" s="103" t="s">
        <v>90</v>
      </c>
      <c r="B9" s="57">
        <f>'3. Proposed Rents'!D21*12</f>
        <v>0</v>
      </c>
      <c r="C9" s="106"/>
    </row>
    <row r="10" spans="1:5" x14ac:dyDescent="0.3">
      <c r="A10" s="107" t="s">
        <v>91</v>
      </c>
      <c r="B10" s="57">
        <f>SUM((B4+B7+B8+B9))</f>
        <v>0</v>
      </c>
      <c r="C10" s="106"/>
    </row>
    <row r="11" spans="1:5" x14ac:dyDescent="0.3">
      <c r="A11" s="103" t="s">
        <v>92</v>
      </c>
      <c r="B11" s="83"/>
      <c r="C11" s="59"/>
    </row>
    <row r="12" spans="1:5" x14ac:dyDescent="0.3">
      <c r="A12" s="103" t="s">
        <v>93</v>
      </c>
      <c r="B12" s="83"/>
      <c r="C12" s="59"/>
    </row>
    <row r="13" spans="1:5" x14ac:dyDescent="0.3">
      <c r="A13" s="107" t="s">
        <v>94</v>
      </c>
      <c r="B13" s="57">
        <f>B10*(1-B11-B12)</f>
        <v>0</v>
      </c>
      <c r="C13" s="106"/>
    </row>
    <row r="14" spans="1:5" x14ac:dyDescent="0.3">
      <c r="A14" s="108" t="s">
        <v>95</v>
      </c>
      <c r="B14" s="109"/>
      <c r="C14" s="102"/>
    </row>
    <row r="15" spans="1:5" x14ac:dyDescent="0.3">
      <c r="A15" s="107" t="s">
        <v>96</v>
      </c>
      <c r="B15" s="58"/>
      <c r="C15" s="122"/>
      <c r="D15" s="110"/>
    </row>
    <row r="16" spans="1:5" x14ac:dyDescent="0.3">
      <c r="A16" s="107" t="s">
        <v>97</v>
      </c>
      <c r="B16" s="60" t="e">
        <f>B15/B13</f>
        <v>#DIV/0!</v>
      </c>
      <c r="C16" s="111"/>
    </row>
    <row r="17" spans="1:3" x14ac:dyDescent="0.3">
      <c r="A17" s="108" t="s">
        <v>98</v>
      </c>
      <c r="B17" s="109"/>
      <c r="C17" s="102"/>
    </row>
    <row r="18" spans="1:3" ht="28.8" x14ac:dyDescent="0.3">
      <c r="A18" s="103" t="s">
        <v>99</v>
      </c>
      <c r="B18" s="57">
        <f>B13-B15</f>
        <v>0</v>
      </c>
      <c r="C18" s="106"/>
    </row>
    <row r="19" spans="1:3" x14ac:dyDescent="0.3">
      <c r="A19" s="103" t="s">
        <v>100</v>
      </c>
      <c r="B19" s="123"/>
      <c r="C19" s="59"/>
    </row>
    <row r="20" spans="1:3" x14ac:dyDescent="0.3">
      <c r="A20" s="103" t="s">
        <v>101</v>
      </c>
      <c r="B20" s="124"/>
      <c r="C20" s="59"/>
    </row>
    <row r="21" spans="1:3" ht="28.8" x14ac:dyDescent="0.3">
      <c r="A21" s="136" t="s">
        <v>175</v>
      </c>
      <c r="B21" s="58"/>
      <c r="C21" s="59"/>
    </row>
    <row r="22" spans="1:3" x14ac:dyDescent="0.3">
      <c r="A22" s="103" t="s">
        <v>102</v>
      </c>
      <c r="B22" s="63"/>
      <c r="C22" s="59"/>
    </row>
    <row r="23" spans="1:3" x14ac:dyDescent="0.3">
      <c r="A23" s="103" t="s">
        <v>103</v>
      </c>
      <c r="B23" s="112" t="e">
        <f>B18/B22</f>
        <v>#DIV/0!</v>
      </c>
      <c r="C23" s="106"/>
    </row>
    <row r="24" spans="1:3" x14ac:dyDescent="0.3">
      <c r="A24" s="103" t="s">
        <v>104</v>
      </c>
      <c r="B24" s="61" t="e">
        <f>B18/B21</f>
        <v>#DIV/0!</v>
      </c>
      <c r="C24" s="111"/>
    </row>
    <row r="28" spans="1:3" x14ac:dyDescent="0.3">
      <c r="C28" s="121"/>
    </row>
  </sheetData>
  <sheetProtection formatColumns="0" formatRows="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097F4-C9CF-475A-A450-F8EC40F39C84}">
  <sheetPr codeName="Sheet4"/>
  <dimension ref="A1:L47"/>
  <sheetViews>
    <sheetView workbookViewId="0">
      <selection activeCell="G38" sqref="G38"/>
    </sheetView>
  </sheetViews>
  <sheetFormatPr defaultRowHeight="14.4" x14ac:dyDescent="0.3"/>
  <cols>
    <col min="1" max="1" width="21.33203125" bestFit="1" customWidth="1"/>
    <col min="2" max="2" width="15.88671875" style="5" bestFit="1" customWidth="1"/>
    <col min="3" max="5" width="15.88671875" bestFit="1" customWidth="1"/>
    <col min="7" max="7" width="34" customWidth="1"/>
    <col min="8" max="8" width="13.88671875" bestFit="1" customWidth="1"/>
    <col min="9" max="9" width="14.88671875" bestFit="1" customWidth="1"/>
    <col min="11" max="12" width="15.88671875" bestFit="1" customWidth="1"/>
  </cols>
  <sheetData>
    <row r="1" spans="1:12" x14ac:dyDescent="0.3">
      <c r="A1" s="24"/>
      <c r="B1" s="25" t="s">
        <v>105</v>
      </c>
      <c r="C1" s="26"/>
      <c r="D1" s="26" t="s">
        <v>106</v>
      </c>
      <c r="E1" s="27" t="s">
        <v>107</v>
      </c>
      <c r="G1" s="170" t="s">
        <v>108</v>
      </c>
      <c r="H1" s="171"/>
      <c r="I1" s="172"/>
    </row>
    <row r="2" spans="1:12" x14ac:dyDescent="0.3">
      <c r="A2" s="7"/>
      <c r="B2" s="8"/>
      <c r="E2" s="9"/>
      <c r="G2" s="7"/>
      <c r="I2" s="9"/>
    </row>
    <row r="3" spans="1:12" x14ac:dyDescent="0.3">
      <c r="A3" s="7" t="s">
        <v>48</v>
      </c>
      <c r="B3" s="8" t="e">
        <f>#REF!</f>
        <v>#REF!</v>
      </c>
      <c r="E3" s="9"/>
      <c r="G3" s="7" t="s">
        <v>109</v>
      </c>
      <c r="H3" t="e">
        <f>#REF!</f>
        <v>#REF!</v>
      </c>
      <c r="I3" s="9"/>
    </row>
    <row r="4" spans="1:12" x14ac:dyDescent="0.3">
      <c r="A4" s="7" t="s">
        <v>49</v>
      </c>
      <c r="B4" s="8" t="e">
        <f>#REF!</f>
        <v>#REF!</v>
      </c>
      <c r="E4" s="9"/>
      <c r="G4" s="7"/>
      <c r="I4" s="9"/>
    </row>
    <row r="5" spans="1:12" x14ac:dyDescent="0.3">
      <c r="A5" s="7"/>
      <c r="B5" s="8"/>
      <c r="E5" s="9"/>
      <c r="G5" s="7" t="s">
        <v>110</v>
      </c>
      <c r="H5" s="28" t="e">
        <f>SUMPRODUCT(#REF!,#REF!)/SUM(#REF!)</f>
        <v>#REF!</v>
      </c>
      <c r="I5" s="9"/>
    </row>
    <row r="6" spans="1:12" x14ac:dyDescent="0.3">
      <c r="A6" s="7" t="s">
        <v>111</v>
      </c>
      <c r="B6" s="8" t="e">
        <f>SUM(SUMPRODUCT(#REF!,#REF!))*12</f>
        <v>#REF!</v>
      </c>
      <c r="D6" s="8"/>
      <c r="E6" s="20"/>
      <c r="G6" s="173" t="s">
        <v>112</v>
      </c>
      <c r="H6" s="174" t="e">
        <f>SUMPRODUCT(#REF!,#REF!)/SUM(#REF!)</f>
        <v>#REF!</v>
      </c>
      <c r="I6" s="9"/>
    </row>
    <row r="7" spans="1:12" x14ac:dyDescent="0.3">
      <c r="A7" s="47" t="s">
        <v>113</v>
      </c>
      <c r="B7" s="8" t="e">
        <f>B6*#REF!</f>
        <v>#REF!</v>
      </c>
      <c r="D7" s="8"/>
      <c r="E7" s="20"/>
      <c r="G7" s="173"/>
      <c r="H7" s="174"/>
      <c r="I7" s="9"/>
    </row>
    <row r="8" spans="1:12" x14ac:dyDescent="0.3">
      <c r="A8" s="7" t="s">
        <v>114</v>
      </c>
      <c r="B8" s="8" t="e">
        <f>B6-B7</f>
        <v>#REF!</v>
      </c>
      <c r="D8" s="8"/>
      <c r="E8" s="20"/>
      <c r="G8" s="7"/>
      <c r="I8" s="9"/>
    </row>
    <row r="9" spans="1:12" ht="15" thickBot="1" x14ac:dyDescent="0.35">
      <c r="A9" s="10" t="s">
        <v>115</v>
      </c>
      <c r="B9" s="6" t="e" cm="1">
        <f t="array" ref="B9">SUM(SUM('1. Application Info'!B27,'1. Application Info'!B32,'1. Application Info'!#REF!)*#REF!*12,(#REF!)*12)</f>
        <v>#REF!</v>
      </c>
      <c r="D9" s="8"/>
      <c r="E9" s="9"/>
      <c r="G9" s="7" t="s">
        <v>116</v>
      </c>
      <c r="H9">
        <v>26</v>
      </c>
      <c r="I9" s="9"/>
    </row>
    <row r="10" spans="1:12" ht="15" thickTop="1" x14ac:dyDescent="0.3">
      <c r="A10" s="7" t="s">
        <v>94</v>
      </c>
      <c r="B10" s="8" t="e">
        <f>B8+B9</f>
        <v>#REF!</v>
      </c>
      <c r="D10" s="8"/>
      <c r="E10" s="20"/>
      <c r="G10" s="7"/>
      <c r="I10" s="9"/>
    </row>
    <row r="11" spans="1:12" x14ac:dyDescent="0.3">
      <c r="A11" s="7"/>
      <c r="B11" s="8"/>
      <c r="D11" s="8"/>
      <c r="E11" s="9"/>
      <c r="G11" s="7"/>
      <c r="H11" s="29" t="s">
        <v>117</v>
      </c>
      <c r="I11" s="30" t="s">
        <v>118</v>
      </c>
    </row>
    <row r="12" spans="1:12" x14ac:dyDescent="0.3">
      <c r="A12" s="7" t="s">
        <v>119</v>
      </c>
      <c r="B12" s="8" t="e">
        <f>B10*#REF!</f>
        <v>#REF!</v>
      </c>
      <c r="D12" s="8"/>
      <c r="E12" s="20"/>
      <c r="G12" s="7"/>
      <c r="I12" s="9"/>
    </row>
    <row r="13" spans="1:12" ht="15" thickBot="1" x14ac:dyDescent="0.35">
      <c r="A13" s="10"/>
      <c r="B13" s="6"/>
      <c r="D13" s="43">
        <f>D10-D12</f>
        <v>0</v>
      </c>
      <c r="E13" s="44">
        <f>E10-E12</f>
        <v>0</v>
      </c>
      <c r="G13" s="7" t="s">
        <v>120</v>
      </c>
      <c r="H13" s="11">
        <f>D26</f>
        <v>0</v>
      </c>
      <c r="I13" s="12">
        <f>IF('1. Application Info'!B34="No",$E$26,0)</f>
        <v>0</v>
      </c>
      <c r="K13" s="11">
        <f>-PV(3.25%/12,NOIBased!B20,655030,,0)</f>
        <v>150510222.69073761</v>
      </c>
      <c r="L13" s="31">
        <f>K14*0.75</f>
        <v>294683549.25</v>
      </c>
    </row>
    <row r="14" spans="1:12" ht="15" thickTop="1" x14ac:dyDescent="0.3">
      <c r="A14" s="7" t="s">
        <v>121</v>
      </c>
      <c r="B14" s="8" t="e">
        <f>B10-B12</f>
        <v>#REF!</v>
      </c>
      <c r="D14" s="8">
        <f>IF('1. Application Info'!B34="Yes",D17*D16,0)</f>
        <v>0</v>
      </c>
      <c r="E14" s="12">
        <f>IF('1. Application Info'!B34="No",E17*E16,0)</f>
        <v>0</v>
      </c>
      <c r="G14" s="7"/>
      <c r="I14" s="9"/>
      <c r="K14" s="5">
        <v>392911399</v>
      </c>
    </row>
    <row r="15" spans="1:12" x14ac:dyDescent="0.3">
      <c r="A15" s="7"/>
      <c r="B15" s="8"/>
      <c r="E15" s="9"/>
      <c r="G15" s="7" t="s">
        <v>122</v>
      </c>
      <c r="H15" s="31">
        <f>IF('1. Application Info'!$B$34="Yes",($H$6-$H$5)*$H$3*12,0)</f>
        <v>0</v>
      </c>
      <c r="I15" s="32">
        <f>IF('1. Application Info'!B34="No",($H$6-$H$5)*$H$3*12,0)</f>
        <v>0</v>
      </c>
    </row>
    <row r="16" spans="1:12" x14ac:dyDescent="0.3">
      <c r="A16" s="7" t="s">
        <v>123</v>
      </c>
      <c r="B16" s="13" t="e">
        <f>B14/B17</f>
        <v>#REF!</v>
      </c>
      <c r="D16" s="14">
        <f>IF('1. Application Info'!B34="Yes",#REF!,0)</f>
        <v>0</v>
      </c>
      <c r="E16" s="15">
        <f>IF('1. Application Info'!B34="No",#REF!,0)</f>
        <v>0</v>
      </c>
      <c r="G16" s="7"/>
      <c r="I16" s="9"/>
      <c r="K16" s="41">
        <f>K13/K14</f>
        <v>0.38306402683607965</v>
      </c>
    </row>
    <row r="17" spans="1:11" x14ac:dyDescent="0.3">
      <c r="A17" s="7" t="s">
        <v>124</v>
      </c>
      <c r="B17" s="16" t="e">
        <f>B19*12</f>
        <v>#REF!</v>
      </c>
      <c r="D17" s="11">
        <f>IF('1. Application Info'!B34="Yes",B17,0)</f>
        <v>0</v>
      </c>
      <c r="E17" s="12">
        <f>IF('1. Application Info'!B34="No",B17,0)</f>
        <v>0</v>
      </c>
      <c r="G17" s="7" t="s">
        <v>125</v>
      </c>
      <c r="H17" s="11" t="e">
        <f>PV(#REF!,NOIBased!$H$9,-NOIBased!$H$15,,)</f>
        <v>#REF!</v>
      </c>
      <c r="I17" s="12" t="e">
        <f>PV(#REF!,NOIBased!$H$9,-NOIBased!$I$15,,)</f>
        <v>#REF!</v>
      </c>
    </row>
    <row r="18" spans="1:11" x14ac:dyDescent="0.3">
      <c r="A18" s="7" t="s">
        <v>126</v>
      </c>
      <c r="B18" s="17" t="e">
        <f>IF('1. Application Info'!B34="yes",#REF!,#REF!)</f>
        <v>#REF!</v>
      </c>
      <c r="E18" s="9"/>
      <c r="G18" s="7"/>
      <c r="I18" s="9"/>
    </row>
    <row r="19" spans="1:11" x14ac:dyDescent="0.3">
      <c r="A19" s="7" t="s">
        <v>127</v>
      </c>
      <c r="B19" s="16" t="e">
        <f>-PMT(B18/12,B20,B4,,1)</f>
        <v>#REF!</v>
      </c>
      <c r="E19" s="9"/>
      <c r="G19" s="7" t="s">
        <v>128</v>
      </c>
      <c r="H19" s="11" t="e">
        <f>H17-H13</f>
        <v>#REF!</v>
      </c>
      <c r="I19" s="12" t="e">
        <f>I17-I13</f>
        <v>#REF!</v>
      </c>
    </row>
    <row r="20" spans="1:11" x14ac:dyDescent="0.3">
      <c r="A20" s="7" t="s">
        <v>129</v>
      </c>
      <c r="B20" s="18">
        <f>IF('1. Application Info'!B34="Yes",480,360)</f>
        <v>360</v>
      </c>
      <c r="E20" s="9"/>
      <c r="G20" s="7"/>
      <c r="I20" s="9"/>
    </row>
    <row r="21" spans="1:11" x14ac:dyDescent="0.3">
      <c r="A21" s="7"/>
      <c r="B21" s="8"/>
      <c r="E21" s="9"/>
      <c r="G21" s="23" t="s">
        <v>130</v>
      </c>
      <c r="H21" s="33">
        <f>IF('1. Application Info'!B34="Yes",H19/H13,0)</f>
        <v>0</v>
      </c>
      <c r="I21" s="34">
        <f>IF('1. Application Info'!B34="No",I19/I13,0)</f>
        <v>0</v>
      </c>
    </row>
    <row r="22" spans="1:11" x14ac:dyDescent="0.3">
      <c r="A22" s="7" t="s">
        <v>131</v>
      </c>
      <c r="B22" s="19">
        <v>0.03</v>
      </c>
      <c r="E22" s="9"/>
    </row>
    <row r="23" spans="1:11" x14ac:dyDescent="0.3">
      <c r="A23" s="7" t="s">
        <v>103</v>
      </c>
      <c r="B23" s="8" t="e">
        <f>B14/$B$22</f>
        <v>#REF!</v>
      </c>
      <c r="D23" s="8">
        <f>D14/$B$22</f>
        <v>0</v>
      </c>
      <c r="E23" s="20">
        <f>IF('1. Application Info'!B34="No",E14/$B$22,0)</f>
        <v>0</v>
      </c>
    </row>
    <row r="24" spans="1:11" x14ac:dyDescent="0.3">
      <c r="A24" s="7" t="s">
        <v>132</v>
      </c>
      <c r="B24" s="21" t="e">
        <f>$B$4/B23</f>
        <v>#REF!</v>
      </c>
      <c r="D24" s="21">
        <f>IF('1. Application Info'!B34="Yes",$B$4/D23,0)</f>
        <v>0</v>
      </c>
      <c r="E24" s="22">
        <f>IF('1. Application Info'!B34="No",$B$4/E23,0)</f>
        <v>0</v>
      </c>
    </row>
    <row r="25" spans="1:11" x14ac:dyDescent="0.3">
      <c r="A25" s="7"/>
      <c r="B25" s="8"/>
      <c r="E25" s="9"/>
    </row>
    <row r="26" spans="1:11" x14ac:dyDescent="0.3">
      <c r="A26" s="35" t="s">
        <v>133</v>
      </c>
      <c r="B26" s="36"/>
      <c r="C26" s="37"/>
      <c r="D26" s="38">
        <f>IF('1. Application Info'!B34="Yes",D14-$B$14,0)</f>
        <v>0</v>
      </c>
      <c r="E26" s="39">
        <f>IF('1. Application Info'!B34="No",E14-$B$14,0)</f>
        <v>0</v>
      </c>
      <c r="H26" t="s">
        <v>134</v>
      </c>
      <c r="I26" t="s">
        <v>135</v>
      </c>
    </row>
    <row r="28" spans="1:11" x14ac:dyDescent="0.3">
      <c r="B28" s="5" t="s">
        <v>136</v>
      </c>
      <c r="C28" t="s">
        <v>137</v>
      </c>
      <c r="H28" s="31">
        <f>D13</f>
        <v>0</v>
      </c>
      <c r="I28" s="31">
        <f>E13</f>
        <v>0</v>
      </c>
    </row>
    <row r="29" spans="1:11" x14ac:dyDescent="0.3">
      <c r="A29" t="s">
        <v>111</v>
      </c>
      <c r="B29" s="5" t="e">
        <f>SUM(SUMPRODUCT(#REF!,#REF!),SUMPRODUCT(#REF!,#REF!))*12</f>
        <v>#REF!</v>
      </c>
      <c r="C29" s="5" t="e">
        <f>SUM(SUMPRODUCT(#REF!,#REF!),SUMPRODUCT(#REF!,#REF!))*12</f>
        <v>#REF!</v>
      </c>
      <c r="E29" s="31">
        <f>E13-D13</f>
        <v>0</v>
      </c>
      <c r="G29" s="42">
        <v>12128.2</v>
      </c>
      <c r="H29" s="5">
        <f>G29*50</f>
        <v>606410</v>
      </c>
      <c r="I29" s="5">
        <v>606410</v>
      </c>
    </row>
    <row r="30" spans="1:11" x14ac:dyDescent="0.3">
      <c r="A30" t="s">
        <v>113</v>
      </c>
      <c r="B30" s="8" t="e">
        <f>B29*#REF!</f>
        <v>#REF!</v>
      </c>
      <c r="C30" s="8" t="e">
        <f>C29*#REF!</f>
        <v>#REF!</v>
      </c>
      <c r="E30" s="31">
        <f>E29/50</f>
        <v>0</v>
      </c>
      <c r="K30" s="40"/>
    </row>
    <row r="31" spans="1:11" x14ac:dyDescent="0.3">
      <c r="A31" t="s">
        <v>138</v>
      </c>
      <c r="B31" s="5" t="e">
        <f>B29-B30</f>
        <v>#REF!</v>
      </c>
      <c r="C31" s="5" t="e">
        <f>C29-C30</f>
        <v>#REF!</v>
      </c>
      <c r="H31" s="31">
        <f>H28-H29</f>
        <v>-606410</v>
      </c>
      <c r="I31" s="31">
        <f>I28-I29</f>
        <v>-606410</v>
      </c>
    </row>
    <row r="32" spans="1:11" ht="15" thickBot="1" x14ac:dyDescent="0.35">
      <c r="A32" t="s">
        <v>115</v>
      </c>
      <c r="B32" s="6">
        <v>742800</v>
      </c>
      <c r="C32" s="6">
        <v>742800</v>
      </c>
      <c r="E32" s="11">
        <f>-PV(6%,26,E29,,0)</f>
        <v>0</v>
      </c>
    </row>
    <row r="33" spans="1:9" ht="15" thickTop="1" x14ac:dyDescent="0.3">
      <c r="A33" t="s">
        <v>94</v>
      </c>
      <c r="B33" s="5" t="e">
        <f>B31+B32</f>
        <v>#REF!</v>
      </c>
      <c r="C33" s="5" t="e">
        <f>C31+C32</f>
        <v>#REF!</v>
      </c>
      <c r="E33" s="11">
        <f>E32/50</f>
        <v>0</v>
      </c>
      <c r="I33" s="31">
        <f>I31-H31</f>
        <v>0</v>
      </c>
    </row>
    <row r="35" spans="1:9" x14ac:dyDescent="0.3">
      <c r="A35" t="s">
        <v>139</v>
      </c>
      <c r="B35" s="5" t="e">
        <f>B33*0.4</f>
        <v>#REF!</v>
      </c>
      <c r="C35" s="5" t="e">
        <f>C33*0.4</f>
        <v>#REF!</v>
      </c>
    </row>
    <row r="37" spans="1:9" x14ac:dyDescent="0.3">
      <c r="A37" t="s">
        <v>121</v>
      </c>
      <c r="B37" s="5" t="e">
        <f>B33-B35</f>
        <v>#REF!</v>
      </c>
      <c r="C37" s="5" t="e">
        <f>C33-C35</f>
        <v>#REF!</v>
      </c>
    </row>
    <row r="39" spans="1:9" x14ac:dyDescent="0.3">
      <c r="A39" t="s">
        <v>103</v>
      </c>
      <c r="B39" s="5" t="e">
        <f>B37/$B$22</f>
        <v>#REF!</v>
      </c>
      <c r="C39" s="5" t="e">
        <f>C37/$B$22</f>
        <v>#REF!</v>
      </c>
    </row>
    <row r="41" spans="1:9" x14ac:dyDescent="0.3">
      <c r="A41" t="s">
        <v>140</v>
      </c>
      <c r="B41" s="5" t="e">
        <f>B39*0.75</f>
        <v>#REF!</v>
      </c>
      <c r="C41" s="5" t="e">
        <f>C39*0.75</f>
        <v>#REF!</v>
      </c>
      <c r="F41">
        <f>20000*658</f>
        <v>13160000</v>
      </c>
    </row>
    <row r="43" spans="1:9" x14ac:dyDescent="0.3">
      <c r="A43" t="s">
        <v>141</v>
      </c>
      <c r="B43" s="5" t="e">
        <f>SUM($B$3:$B$4)-$F$41</f>
        <v>#REF!</v>
      </c>
      <c r="C43" s="5" t="e">
        <f>SUM($B$3:$B$4)-$F$41</f>
        <v>#REF!</v>
      </c>
    </row>
    <row r="45" spans="1:9" x14ac:dyDescent="0.3">
      <c r="A45" t="s">
        <v>48</v>
      </c>
      <c r="B45" s="5" t="e">
        <f>B43-B41</f>
        <v>#REF!</v>
      </c>
      <c r="C45" s="5" t="e">
        <f>C43-C41</f>
        <v>#REF!</v>
      </c>
      <c r="D45" s="31" t="e">
        <f>C45-B45</f>
        <v>#REF!</v>
      </c>
    </row>
    <row r="47" spans="1:9" x14ac:dyDescent="0.3">
      <c r="D47" s="31" t="e">
        <f>D45/50</f>
        <v>#REF!</v>
      </c>
    </row>
  </sheetData>
  <mergeCells count="3">
    <mergeCell ref="G1:I1"/>
    <mergeCell ref="G6:G7"/>
    <mergeCell ref="H6:H7"/>
  </mergeCell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 id="{B10DC980-217D-4C23-8B4F-E930B3C03127}">
            <xm:f>IF('1. Application Info'!$B$34="Yes",$D$26)</xm:f>
            <x14:dxf>
              <fill>
                <patternFill>
                  <bgColor theme="5" tint="0.59996337778862885"/>
                </patternFill>
              </fill>
            </x14:dxf>
          </x14:cfRule>
          <xm:sqref>D26</xm:sqref>
        </x14:conditionalFormatting>
        <x14:conditionalFormatting xmlns:xm="http://schemas.microsoft.com/office/excel/2006/main">
          <x14:cfRule type="expression" priority="6" id="{32E24DCC-5D06-424E-A9A2-F07BF8947F40}">
            <xm:f>IF('1. Application Info'!$B$34="No",$E$26)</xm:f>
            <x14:dxf>
              <fill>
                <patternFill>
                  <bgColor theme="5" tint="0.59996337778862885"/>
                </patternFill>
              </fill>
            </x14:dxf>
          </x14:cfRule>
          <xm:sqref>E26</xm:sqref>
        </x14:conditionalFormatting>
        <x14:conditionalFormatting xmlns:xm="http://schemas.microsoft.com/office/excel/2006/main">
          <x14:cfRule type="expression" priority="7" id="{CFAC4436-8017-4B95-9B99-6FC869DED1C0}">
            <xm:f>IF('1. Application Info'!$B$34="Yes",$H$12)</xm:f>
            <x14:dxf>
              <fill>
                <patternFill>
                  <bgColor theme="5" tint="0.59996337778862885"/>
                </patternFill>
              </fill>
            </x14:dxf>
          </x14:cfRule>
          <xm:sqref>H12</xm:sqref>
        </x14:conditionalFormatting>
        <x14:conditionalFormatting xmlns:xm="http://schemas.microsoft.com/office/excel/2006/main">
          <x14:cfRule type="expression" priority="2" id="{3753F997-82B3-4F59-B1DA-C0DE928650F2}">
            <xm:f>IF('1. Application Info'!$B$34="Yes",$H$13)</xm:f>
            <x14:dxf>
              <fill>
                <patternFill>
                  <bgColor theme="5" tint="0.59996337778862885"/>
                </patternFill>
              </fill>
            </x14:dxf>
          </x14:cfRule>
          <xm:sqref>H13</xm:sqref>
        </x14:conditionalFormatting>
        <x14:conditionalFormatting xmlns:xm="http://schemas.microsoft.com/office/excel/2006/main">
          <x14:cfRule type="expression" priority="1" id="{EA9AF503-015C-4427-8B01-598FCA57B716}">
            <xm:f>IF('1. Application Info'!$B$34="No",$I$13)</xm:f>
            <x14:dxf>
              <fill>
                <patternFill>
                  <bgColor theme="5" tint="0.59996337778862885"/>
                </patternFill>
              </fill>
            </x14:dxf>
          </x14:cfRule>
          <xm:sqref>I13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FAA67-91C9-4B7C-986D-769BD2D748A6}">
  <sheetPr codeName="Sheet6"/>
  <dimension ref="A2:R77"/>
  <sheetViews>
    <sheetView topLeftCell="A4" workbookViewId="0">
      <selection activeCell="D26" sqref="D26"/>
    </sheetView>
  </sheetViews>
  <sheetFormatPr defaultRowHeight="14.4" x14ac:dyDescent="0.3"/>
  <cols>
    <col min="1" max="1" width="21.33203125" bestFit="1" customWidth="1"/>
    <col min="2" max="2" width="19.44140625" bestFit="1" customWidth="1"/>
    <col min="3" max="3" width="18.44140625" bestFit="1" customWidth="1"/>
    <col min="4" max="4" width="15.88671875" bestFit="1" customWidth="1"/>
    <col min="6" max="6" width="32.6640625" customWidth="1"/>
    <col min="8" max="8" width="10.33203125" bestFit="1" customWidth="1"/>
    <col min="11" max="11" width="21.33203125" bestFit="1" customWidth="1"/>
    <col min="12" max="12" width="19.44140625" bestFit="1" customWidth="1"/>
    <col min="13" max="13" width="18.44140625" bestFit="1" customWidth="1"/>
    <col min="14" max="14" width="15.88671875" bestFit="1" customWidth="1"/>
    <col min="16" max="16" width="32.6640625" customWidth="1"/>
    <col min="18" max="18" width="10.33203125" bestFit="1" customWidth="1"/>
  </cols>
  <sheetData>
    <row r="2" spans="1:18" x14ac:dyDescent="0.3">
      <c r="A2" t="s">
        <v>131</v>
      </c>
      <c r="B2" s="48">
        <v>3.2500000000000001E-2</v>
      </c>
    </row>
    <row r="3" spans="1:18" x14ac:dyDescent="0.3">
      <c r="A3" t="s">
        <v>132</v>
      </c>
      <c r="B3" s="41">
        <v>0.75</v>
      </c>
    </row>
    <row r="5" spans="1:18" x14ac:dyDescent="0.3">
      <c r="A5" s="49" t="s">
        <v>142</v>
      </c>
      <c r="K5" s="49" t="s">
        <v>143</v>
      </c>
    </row>
    <row r="7" spans="1:18" x14ac:dyDescent="0.3">
      <c r="A7" s="24"/>
      <c r="B7" s="26" t="s">
        <v>144</v>
      </c>
      <c r="C7" s="26" t="s">
        <v>145</v>
      </c>
      <c r="D7" s="27"/>
      <c r="F7" s="170" t="s">
        <v>108</v>
      </c>
      <c r="G7" s="171"/>
      <c r="H7" s="172"/>
      <c r="K7" s="24"/>
      <c r="L7" s="26" t="s">
        <v>144</v>
      </c>
      <c r="M7" s="26" t="s">
        <v>145</v>
      </c>
      <c r="N7" s="27"/>
      <c r="P7" s="170" t="s">
        <v>108</v>
      </c>
      <c r="Q7" s="171"/>
      <c r="R7" s="172"/>
    </row>
    <row r="8" spans="1:18" x14ac:dyDescent="0.3">
      <c r="A8" s="7"/>
      <c r="D8" s="9"/>
      <c r="F8" s="7"/>
      <c r="G8" s="175"/>
      <c r="H8" s="176"/>
      <c r="K8" s="7"/>
      <c r="N8" s="9"/>
      <c r="P8" s="7"/>
      <c r="Q8" s="175"/>
      <c r="R8" s="176"/>
    </row>
    <row r="9" spans="1:18" x14ac:dyDescent="0.3">
      <c r="A9" s="7" t="s">
        <v>111</v>
      </c>
      <c r="B9" s="8">
        <v>16092982.080000002</v>
      </c>
      <c r="C9" s="8">
        <v>15819477.600000001</v>
      </c>
      <c r="D9" s="20"/>
      <c r="F9" s="7" t="s">
        <v>109</v>
      </c>
      <c r="G9" s="177">
        <v>50</v>
      </c>
      <c r="H9" s="178"/>
      <c r="K9" s="7" t="s">
        <v>111</v>
      </c>
      <c r="L9" s="8">
        <v>2332116</v>
      </c>
      <c r="M9" s="8">
        <v>2237220</v>
      </c>
      <c r="N9" s="20"/>
      <c r="P9" s="7" t="s">
        <v>109</v>
      </c>
      <c r="Q9" s="177">
        <v>12</v>
      </c>
      <c r="R9" s="178"/>
    </row>
    <row r="10" spans="1:18" x14ac:dyDescent="0.3">
      <c r="A10" s="7" t="s">
        <v>115</v>
      </c>
      <c r="B10" s="8">
        <v>742800</v>
      </c>
      <c r="C10" s="8">
        <v>742800</v>
      </c>
      <c r="D10" s="20"/>
      <c r="F10" s="7"/>
      <c r="G10" s="175"/>
      <c r="H10" s="176"/>
      <c r="K10" s="7" t="s">
        <v>115</v>
      </c>
      <c r="L10" s="8">
        <v>98400</v>
      </c>
      <c r="M10" s="8">
        <v>98400</v>
      </c>
      <c r="N10" s="20"/>
      <c r="P10" s="7"/>
      <c r="Q10" s="175"/>
      <c r="R10" s="176"/>
    </row>
    <row r="11" spans="1:18" x14ac:dyDescent="0.3">
      <c r="A11" s="7" t="s">
        <v>146</v>
      </c>
      <c r="B11" s="8">
        <v>-14820</v>
      </c>
      <c r="C11" s="8">
        <v>-14820</v>
      </c>
      <c r="D11" s="20"/>
      <c r="F11" s="7" t="s">
        <v>110</v>
      </c>
      <c r="G11" s="180" t="e">
        <f>SUMPRODUCT(#REF!,#REF!)/SUM(#REF!)</f>
        <v>#REF!</v>
      </c>
      <c r="H11" s="181"/>
      <c r="K11" s="7" t="s">
        <v>146</v>
      </c>
      <c r="L11" s="8">
        <v>0</v>
      </c>
      <c r="M11" s="8">
        <v>0</v>
      </c>
      <c r="N11" s="20"/>
      <c r="P11" s="7" t="s">
        <v>110</v>
      </c>
      <c r="Q11" s="180">
        <v>2099</v>
      </c>
      <c r="R11" s="181"/>
    </row>
    <row r="12" spans="1:18" ht="15" customHeight="1" thickBot="1" x14ac:dyDescent="0.35">
      <c r="A12" s="10" t="s">
        <v>113</v>
      </c>
      <c r="B12" s="6">
        <f>SUM(B9:B11)*2.94833964144027%</f>
        <v>495939.09307627589</v>
      </c>
      <c r="C12" s="6">
        <f>SUM(C9:C11)*2.94833964144027%</f>
        <v>487875.25207132078</v>
      </c>
      <c r="D12" s="20"/>
      <c r="F12" s="173" t="s">
        <v>112</v>
      </c>
      <c r="G12" s="182" t="e">
        <f>SUMPRODUCT(#REF!,#REF!)/SUM(#REF!)</f>
        <v>#REF!</v>
      </c>
      <c r="H12" s="183"/>
      <c r="K12" s="10" t="s">
        <v>113</v>
      </c>
      <c r="L12" s="6">
        <f>SUM(L9:L11)*3%</f>
        <v>72915.48</v>
      </c>
      <c r="M12" s="6">
        <f>SUM(M9:M11)*3%</f>
        <v>70068.599999999991</v>
      </c>
      <c r="N12" s="20"/>
      <c r="P12" s="173" t="s">
        <v>112</v>
      </c>
      <c r="Q12" s="182">
        <v>2757</v>
      </c>
      <c r="R12" s="183"/>
    </row>
    <row r="13" spans="1:18" ht="15" thickTop="1" x14ac:dyDescent="0.3">
      <c r="A13" s="7" t="s">
        <v>94</v>
      </c>
      <c r="B13" s="8">
        <f>SUM(B9:B11)-B12</f>
        <v>16325022.986923726</v>
      </c>
      <c r="C13" s="8">
        <f>SUM(C9:C11)-C12</f>
        <v>16059582.34792868</v>
      </c>
      <c r="D13" s="20"/>
      <c r="F13" s="173"/>
      <c r="G13" s="182"/>
      <c r="H13" s="183"/>
      <c r="K13" s="7" t="s">
        <v>94</v>
      </c>
      <c r="L13" s="8">
        <f>SUM(L9:L11)-L12</f>
        <v>2357600.52</v>
      </c>
      <c r="M13" s="8">
        <f>SUM(M9:M11)-M12</f>
        <v>2265551.4</v>
      </c>
      <c r="N13" s="20"/>
      <c r="P13" s="173"/>
      <c r="Q13" s="182"/>
      <c r="R13" s="183"/>
    </row>
    <row r="14" spans="1:18" x14ac:dyDescent="0.3">
      <c r="A14" s="7"/>
      <c r="B14" s="8"/>
      <c r="C14" s="8"/>
      <c r="D14" s="20"/>
      <c r="F14" s="7"/>
      <c r="G14" s="175"/>
      <c r="H14" s="176"/>
      <c r="K14" s="7"/>
      <c r="L14" s="8"/>
      <c r="M14" s="8"/>
      <c r="N14" s="20"/>
      <c r="P14" s="7"/>
      <c r="Q14" s="175"/>
      <c r="R14" s="176"/>
    </row>
    <row r="15" spans="1:18" x14ac:dyDescent="0.3">
      <c r="A15" s="7" t="s">
        <v>119</v>
      </c>
      <c r="B15" s="8">
        <v>5142192</v>
      </c>
      <c r="C15" s="8">
        <v>5142192</v>
      </c>
      <c r="D15" s="20"/>
      <c r="F15" s="7" t="s">
        <v>116</v>
      </c>
      <c r="G15" s="177">
        <v>26</v>
      </c>
      <c r="H15" s="178"/>
      <c r="K15" s="7" t="s">
        <v>119</v>
      </c>
      <c r="L15" s="8">
        <v>667000</v>
      </c>
      <c r="M15" s="8">
        <v>667000</v>
      </c>
      <c r="N15" s="20"/>
      <c r="P15" s="7" t="s">
        <v>116</v>
      </c>
      <c r="Q15" s="177">
        <v>26</v>
      </c>
      <c r="R15" s="178"/>
    </row>
    <row r="16" spans="1:18" ht="15" thickBot="1" x14ac:dyDescent="0.35">
      <c r="A16" s="10"/>
      <c r="B16" s="6"/>
      <c r="C16" s="6"/>
      <c r="D16" s="20"/>
      <c r="F16" s="7"/>
      <c r="G16" s="177"/>
      <c r="H16" s="178"/>
      <c r="K16" s="10"/>
      <c r="L16" s="6"/>
      <c r="M16" s="6"/>
      <c r="N16" s="20"/>
      <c r="P16" s="7"/>
      <c r="Q16" s="177"/>
      <c r="R16" s="178"/>
    </row>
    <row r="17" spans="1:18" ht="15" thickTop="1" x14ac:dyDescent="0.3">
      <c r="A17" s="7" t="s">
        <v>121</v>
      </c>
      <c r="B17" s="8">
        <f>B13-B15</f>
        <v>11182830.986923726</v>
      </c>
      <c r="C17" s="8">
        <f>C13-C15</f>
        <v>10917390.34792868</v>
      </c>
      <c r="D17" s="20"/>
      <c r="F17" s="7" t="s">
        <v>120</v>
      </c>
      <c r="G17" s="179">
        <f>D26</f>
        <v>6125553.2075779736</v>
      </c>
      <c r="H17" s="178"/>
      <c r="K17" s="7" t="s">
        <v>121</v>
      </c>
      <c r="L17" s="8">
        <f>L13-L15</f>
        <v>1690600.52</v>
      </c>
      <c r="M17" s="8">
        <f>M13-M15</f>
        <v>1598551.4</v>
      </c>
      <c r="N17" s="20"/>
      <c r="P17" s="7" t="s">
        <v>120</v>
      </c>
      <c r="Q17" s="179">
        <f>N26</f>
        <v>2124210.4615384638</v>
      </c>
      <c r="R17" s="178"/>
    </row>
    <row r="18" spans="1:18" x14ac:dyDescent="0.3">
      <c r="A18" s="7"/>
      <c r="B18" s="8"/>
      <c r="C18" s="8"/>
      <c r="D18" s="20"/>
      <c r="F18" s="7"/>
      <c r="G18" s="177"/>
      <c r="H18" s="178"/>
      <c r="K18" s="7"/>
      <c r="L18" s="8"/>
      <c r="M18" s="8"/>
      <c r="N18" s="20"/>
      <c r="P18" s="7"/>
      <c r="Q18" s="177"/>
      <c r="R18" s="178"/>
    </row>
    <row r="19" spans="1:18" x14ac:dyDescent="0.3">
      <c r="A19" s="7" t="s">
        <v>103</v>
      </c>
      <c r="B19" s="8">
        <f>B17/$B$2</f>
        <v>344087107.2899608</v>
      </c>
      <c r="C19" s="8">
        <f>C17/$B$2</f>
        <v>335919703.01319015</v>
      </c>
      <c r="D19" s="20"/>
      <c r="F19" s="7" t="s">
        <v>122</v>
      </c>
      <c r="G19" s="180" t="e">
        <f>(G12-G11)*G9*12</f>
        <v>#REF!</v>
      </c>
      <c r="H19" s="181">
        <f>IF('1. Application Info'!$B$34="Yes",($H$10-$H$9)*$H$7*12,0)</f>
        <v>0</v>
      </c>
      <c r="K19" s="7" t="s">
        <v>103</v>
      </c>
      <c r="L19" s="8">
        <f>L17/$B$2</f>
        <v>52018477.538461536</v>
      </c>
      <c r="M19" s="8">
        <f>M17/$B$2</f>
        <v>49186196.92307692</v>
      </c>
      <c r="N19" s="20"/>
      <c r="P19" s="7" t="s">
        <v>122</v>
      </c>
      <c r="Q19" s="180">
        <f>(Q12-Q11)*Q9*12</f>
        <v>94752</v>
      </c>
      <c r="R19" s="181">
        <f>IF('1. Application Info'!$B$34="Yes",($H$10-$H$9)*$H$7*12,0)</f>
        <v>0</v>
      </c>
    </row>
    <row r="20" spans="1:18" x14ac:dyDescent="0.3">
      <c r="A20" s="7"/>
      <c r="B20" s="8"/>
      <c r="C20" s="8"/>
      <c r="D20" s="20"/>
      <c r="F20" s="7"/>
      <c r="G20" s="177"/>
      <c r="H20" s="178"/>
      <c r="K20" s="7"/>
      <c r="L20" s="8"/>
      <c r="M20" s="8"/>
      <c r="N20" s="20"/>
      <c r="P20" s="7"/>
      <c r="Q20" s="177"/>
      <c r="R20" s="178"/>
    </row>
    <row r="21" spans="1:18" x14ac:dyDescent="0.3">
      <c r="A21" s="7" t="s">
        <v>49</v>
      </c>
      <c r="B21" s="8">
        <f>B19*$B$3</f>
        <v>258065330.46747059</v>
      </c>
      <c r="C21" s="8">
        <f>C19*$B$3</f>
        <v>251939777.25989261</v>
      </c>
      <c r="D21" s="20"/>
      <c r="F21" s="7" t="s">
        <v>125</v>
      </c>
      <c r="G21" s="184" t="e">
        <f>-PV(6%,'2021Applications'!G15,G19,,)</f>
        <v>#REF!</v>
      </c>
      <c r="H21" s="181" t="e">
        <f>PV(#REF!,NOIBased!$H$9,-NOIBased!$H$15,,)</f>
        <v>#REF!</v>
      </c>
      <c r="K21" s="7" t="s">
        <v>49</v>
      </c>
      <c r="L21" s="8">
        <f>L19*$B$3</f>
        <v>39013858.153846152</v>
      </c>
      <c r="M21" s="8">
        <f>M19*$B$3</f>
        <v>36889647.692307688</v>
      </c>
      <c r="N21" s="20"/>
      <c r="P21" s="7" t="s">
        <v>125</v>
      </c>
      <c r="Q21" s="184">
        <f>-PV(6%,'2021Applications'!Q15,Q19,,)</f>
        <v>1232076.0025549515</v>
      </c>
      <c r="R21" s="181" t="e">
        <f>PV(#REF!,NOIBased!$H$9,-NOIBased!$H$15,,)</f>
        <v>#REF!</v>
      </c>
    </row>
    <row r="22" spans="1:18" x14ac:dyDescent="0.3">
      <c r="A22" s="7" t="s">
        <v>48</v>
      </c>
      <c r="B22" s="8">
        <f>B24-B21</f>
        <v>40692910.532529414</v>
      </c>
      <c r="C22" s="8">
        <f>C24-C21</f>
        <v>46818463.740107387</v>
      </c>
      <c r="D22" s="20"/>
      <c r="F22" s="7"/>
      <c r="G22" s="177"/>
      <c r="H22" s="178"/>
      <c r="K22" s="7" t="s">
        <v>48</v>
      </c>
      <c r="L22" s="8">
        <f>L24-L21</f>
        <v>4735762.8461538479</v>
      </c>
      <c r="M22" s="8">
        <f>M24-M21</f>
        <v>6859973.3076923117</v>
      </c>
      <c r="N22" s="20"/>
      <c r="P22" s="7"/>
      <c r="Q22" s="177"/>
      <c r="R22" s="178"/>
    </row>
    <row r="23" spans="1:18" x14ac:dyDescent="0.3">
      <c r="A23" s="7"/>
      <c r="B23" s="8"/>
      <c r="C23" s="8"/>
      <c r="D23" s="20"/>
      <c r="F23" s="7" t="s">
        <v>128</v>
      </c>
      <c r="G23" s="180" t="e">
        <f>G21-G17</f>
        <v>#REF!</v>
      </c>
      <c r="H23" s="181"/>
      <c r="K23" s="7"/>
      <c r="L23" s="8"/>
      <c r="M23" s="8"/>
      <c r="N23" s="20"/>
      <c r="P23" s="7" t="s">
        <v>128</v>
      </c>
      <c r="Q23" s="184">
        <f>Q21-Q17</f>
        <v>-892134.45898351236</v>
      </c>
      <c r="R23" s="181"/>
    </row>
    <row r="24" spans="1:18" x14ac:dyDescent="0.3">
      <c r="A24" s="7" t="s">
        <v>46</v>
      </c>
      <c r="B24" s="8">
        <v>298758241</v>
      </c>
      <c r="C24" s="8">
        <v>298758241</v>
      </c>
      <c r="D24" s="20"/>
      <c r="F24" s="7"/>
      <c r="G24" s="177"/>
      <c r="H24" s="178"/>
      <c r="K24" s="7" t="s">
        <v>46</v>
      </c>
      <c r="L24" s="8">
        <v>43749621</v>
      </c>
      <c r="M24" s="8">
        <v>43749621</v>
      </c>
      <c r="N24" s="20"/>
      <c r="P24" s="7"/>
      <c r="Q24" s="177"/>
      <c r="R24" s="178"/>
    </row>
    <row r="25" spans="1:18" x14ac:dyDescent="0.3">
      <c r="A25" s="7"/>
      <c r="B25" s="8"/>
      <c r="C25" s="8"/>
      <c r="D25" s="20"/>
      <c r="F25" s="23" t="s">
        <v>130</v>
      </c>
      <c r="G25" s="185" t="e">
        <f>G23/G17</f>
        <v>#REF!</v>
      </c>
      <c r="H25" s="186"/>
      <c r="K25" s="7"/>
      <c r="L25" s="8"/>
      <c r="M25" s="8"/>
      <c r="N25" s="20"/>
      <c r="P25" s="23" t="s">
        <v>130</v>
      </c>
      <c r="Q25" s="185">
        <f>Q23/Q17</f>
        <v>-0.41998402471729762</v>
      </c>
      <c r="R25" s="186"/>
    </row>
    <row r="26" spans="1:18" x14ac:dyDescent="0.3">
      <c r="A26" s="7" t="s">
        <v>147</v>
      </c>
      <c r="B26" s="8"/>
      <c r="C26" s="8"/>
      <c r="D26" s="44">
        <f>C22-B22</f>
        <v>6125553.2075779736</v>
      </c>
      <c r="K26" s="7" t="s">
        <v>147</v>
      </c>
      <c r="L26" s="8"/>
      <c r="M26" s="8"/>
      <c r="N26" s="44">
        <f>M22-L22</f>
        <v>2124210.4615384638</v>
      </c>
    </row>
    <row r="27" spans="1:18" x14ac:dyDescent="0.3">
      <c r="A27" s="23" t="s">
        <v>148</v>
      </c>
      <c r="B27" s="45"/>
      <c r="C27" s="45"/>
      <c r="D27" s="46">
        <f>D26/G9</f>
        <v>122511.06415155948</v>
      </c>
      <c r="K27" s="23" t="s">
        <v>148</v>
      </c>
      <c r="L27" s="45"/>
      <c r="M27" s="45"/>
      <c r="N27" s="46">
        <f>N26/Q9</f>
        <v>177017.53846153864</v>
      </c>
    </row>
    <row r="30" spans="1:18" x14ac:dyDescent="0.3">
      <c r="A30" s="49" t="s">
        <v>149</v>
      </c>
      <c r="K30" s="49" t="s">
        <v>150</v>
      </c>
    </row>
    <row r="32" spans="1:18" x14ac:dyDescent="0.3">
      <c r="A32" s="24"/>
      <c r="B32" s="26" t="s">
        <v>144</v>
      </c>
      <c r="C32" s="26" t="s">
        <v>145</v>
      </c>
      <c r="D32" s="27"/>
      <c r="F32" s="170" t="s">
        <v>108</v>
      </c>
      <c r="G32" s="171"/>
      <c r="H32" s="172"/>
      <c r="K32" s="24"/>
      <c r="L32" s="26" t="s">
        <v>144</v>
      </c>
      <c r="M32" s="26" t="s">
        <v>145</v>
      </c>
      <c r="N32" s="27"/>
      <c r="P32" s="170" t="s">
        <v>108</v>
      </c>
      <c r="Q32" s="171"/>
      <c r="R32" s="172"/>
    </row>
    <row r="33" spans="1:18" x14ac:dyDescent="0.3">
      <c r="A33" s="7"/>
      <c r="D33" s="9"/>
      <c r="F33" s="7"/>
      <c r="G33" s="175"/>
      <c r="H33" s="176"/>
      <c r="K33" s="7"/>
      <c r="N33" s="9"/>
      <c r="P33" s="7"/>
      <c r="Q33" s="175"/>
      <c r="R33" s="176"/>
    </row>
    <row r="34" spans="1:18" x14ac:dyDescent="0.3">
      <c r="A34" s="7" t="s">
        <v>111</v>
      </c>
      <c r="B34" s="8">
        <v>6752160</v>
      </c>
      <c r="C34" s="8">
        <v>5375448</v>
      </c>
      <c r="D34" s="20"/>
      <c r="F34" s="7" t="s">
        <v>109</v>
      </c>
      <c r="G34" s="177">
        <v>125</v>
      </c>
      <c r="H34" s="178"/>
      <c r="K34" s="7" t="s">
        <v>111</v>
      </c>
      <c r="L34" s="8">
        <v>388800</v>
      </c>
      <c r="M34" s="8">
        <v>354600</v>
      </c>
      <c r="N34" s="20"/>
      <c r="P34" s="7" t="s">
        <v>109</v>
      </c>
      <c r="Q34" s="177">
        <v>5</v>
      </c>
      <c r="R34" s="178"/>
    </row>
    <row r="35" spans="1:18" x14ac:dyDescent="0.3">
      <c r="A35" s="7" t="s">
        <v>115</v>
      </c>
      <c r="B35" s="8">
        <v>156000</v>
      </c>
      <c r="C35" s="8">
        <v>156000</v>
      </c>
      <c r="D35" s="20"/>
      <c r="F35" s="7"/>
      <c r="G35" s="175"/>
      <c r="H35" s="176"/>
      <c r="K35" s="7" t="s">
        <v>115</v>
      </c>
      <c r="L35" s="8">
        <v>0</v>
      </c>
      <c r="M35" s="8">
        <v>0</v>
      </c>
      <c r="N35" s="20"/>
      <c r="P35" s="7"/>
      <c r="Q35" s="175"/>
      <c r="R35" s="176"/>
    </row>
    <row r="36" spans="1:18" x14ac:dyDescent="0.3">
      <c r="A36" s="7" t="s">
        <v>146</v>
      </c>
      <c r="B36" s="8">
        <v>0</v>
      </c>
      <c r="C36" s="8">
        <v>0</v>
      </c>
      <c r="D36" s="20"/>
      <c r="F36" s="7" t="s">
        <v>110</v>
      </c>
      <c r="G36" s="180">
        <v>1552.43</v>
      </c>
      <c r="H36" s="181"/>
      <c r="K36" s="7" t="s">
        <v>146</v>
      </c>
      <c r="L36" s="8">
        <v>0</v>
      </c>
      <c r="M36" s="8">
        <v>0</v>
      </c>
      <c r="N36" s="20"/>
      <c r="P36" s="7" t="s">
        <v>110</v>
      </c>
      <c r="Q36" s="180">
        <v>2130</v>
      </c>
      <c r="R36" s="181"/>
    </row>
    <row r="37" spans="1:18" ht="15" thickBot="1" x14ac:dyDescent="0.35">
      <c r="A37" s="10" t="s">
        <v>113</v>
      </c>
      <c r="B37" s="6">
        <f>SUM(B34:B36)*3.5%</f>
        <v>241785.60000000003</v>
      </c>
      <c r="C37" s="6">
        <f>SUM(C34:C36)*3.5%</f>
        <v>193600.68000000002</v>
      </c>
      <c r="D37" s="20"/>
      <c r="F37" s="173" t="s">
        <v>112</v>
      </c>
      <c r="G37" s="182">
        <v>2470</v>
      </c>
      <c r="H37" s="183"/>
      <c r="K37" s="10" t="s">
        <v>113</v>
      </c>
      <c r="L37" s="6">
        <f>SUM(L34:L36)*4%</f>
        <v>15552</v>
      </c>
      <c r="M37" s="6">
        <f>SUM(M34:M36)*4%</f>
        <v>14184</v>
      </c>
      <c r="N37" s="20"/>
      <c r="P37" s="173" t="s">
        <v>112</v>
      </c>
      <c r="Q37" s="182">
        <v>2700</v>
      </c>
      <c r="R37" s="183"/>
    </row>
    <row r="38" spans="1:18" ht="15" thickTop="1" x14ac:dyDescent="0.3">
      <c r="A38" s="7" t="s">
        <v>94</v>
      </c>
      <c r="B38" s="8">
        <f>SUM(B34:B36)-B37</f>
        <v>6666374.4000000004</v>
      </c>
      <c r="C38" s="8">
        <f>SUM(C34:C36)-C37</f>
        <v>5337847.32</v>
      </c>
      <c r="D38" s="20"/>
      <c r="F38" s="173"/>
      <c r="G38" s="182"/>
      <c r="H38" s="183"/>
      <c r="K38" s="7" t="s">
        <v>94</v>
      </c>
      <c r="L38" s="8">
        <f>SUM(L34:L36)-L37</f>
        <v>373248</v>
      </c>
      <c r="M38" s="8">
        <f>SUM(M34:M36)-M37</f>
        <v>340416</v>
      </c>
      <c r="N38" s="20"/>
      <c r="P38" s="173"/>
      <c r="Q38" s="182"/>
      <c r="R38" s="183"/>
    </row>
    <row r="39" spans="1:18" x14ac:dyDescent="0.3">
      <c r="A39" s="7"/>
      <c r="B39" s="8"/>
      <c r="C39" s="8"/>
      <c r="D39" s="20"/>
      <c r="F39" s="7"/>
      <c r="G39" s="175"/>
      <c r="H39" s="176"/>
      <c r="K39" s="7"/>
      <c r="L39" s="8"/>
      <c r="M39" s="8"/>
      <c r="N39" s="20"/>
      <c r="P39" s="7"/>
      <c r="Q39" s="175"/>
      <c r="R39" s="176"/>
    </row>
    <row r="40" spans="1:18" x14ac:dyDescent="0.3">
      <c r="A40" s="7" t="s">
        <v>119</v>
      </c>
      <c r="B40" s="8">
        <v>1486149</v>
      </c>
      <c r="C40" s="8">
        <v>1486149</v>
      </c>
      <c r="D40" s="20"/>
      <c r="F40" s="7" t="s">
        <v>116</v>
      </c>
      <c r="G40" s="177">
        <v>41</v>
      </c>
      <c r="H40" s="178"/>
      <c r="K40" s="7" t="s">
        <v>119</v>
      </c>
      <c r="L40" s="8">
        <v>101897</v>
      </c>
      <c r="M40" s="8">
        <v>101897</v>
      </c>
      <c r="N40" s="20"/>
      <c r="P40" s="7" t="s">
        <v>116</v>
      </c>
      <c r="Q40" s="177">
        <v>26</v>
      </c>
      <c r="R40" s="178"/>
    </row>
    <row r="41" spans="1:18" ht="15" thickBot="1" x14ac:dyDescent="0.35">
      <c r="A41" s="10"/>
      <c r="B41" s="6"/>
      <c r="C41" s="6"/>
      <c r="D41" s="20"/>
      <c r="F41" s="7"/>
      <c r="G41" s="177"/>
      <c r="H41" s="178"/>
      <c r="K41" s="10"/>
      <c r="L41" s="6"/>
      <c r="M41" s="6"/>
      <c r="N41" s="20"/>
      <c r="P41" s="7"/>
      <c r="Q41" s="177"/>
      <c r="R41" s="178"/>
    </row>
    <row r="42" spans="1:18" ht="15" thickTop="1" x14ac:dyDescent="0.3">
      <c r="A42" s="7" t="s">
        <v>121</v>
      </c>
      <c r="B42" s="8">
        <f>B38-B40</f>
        <v>5180225.4000000004</v>
      </c>
      <c r="C42" s="8">
        <f>C38-C40</f>
        <v>3851698.3200000003</v>
      </c>
      <c r="D42" s="20"/>
      <c r="F42" s="7" t="s">
        <v>120</v>
      </c>
      <c r="G42" s="179">
        <f>D51</f>
        <v>30658317.230769232</v>
      </c>
      <c r="H42" s="178"/>
      <c r="K42" s="7" t="s">
        <v>121</v>
      </c>
      <c r="L42" s="8">
        <f>L38-L40</f>
        <v>271351</v>
      </c>
      <c r="M42" s="8">
        <f>M38-M40</f>
        <v>238519</v>
      </c>
      <c r="N42" s="20"/>
      <c r="P42" s="7" t="s">
        <v>120</v>
      </c>
      <c r="Q42" s="179">
        <f>N51</f>
        <v>757661.53846153803</v>
      </c>
      <c r="R42" s="178"/>
    </row>
    <row r="43" spans="1:18" x14ac:dyDescent="0.3">
      <c r="A43" s="7"/>
      <c r="B43" s="8"/>
      <c r="C43" s="8"/>
      <c r="D43" s="20"/>
      <c r="F43" s="7"/>
      <c r="G43" s="177"/>
      <c r="H43" s="178"/>
      <c r="K43" s="7"/>
      <c r="L43" s="8"/>
      <c r="M43" s="8"/>
      <c r="N43" s="20"/>
      <c r="P43" s="7"/>
      <c r="Q43" s="177"/>
      <c r="R43" s="178"/>
    </row>
    <row r="44" spans="1:18" x14ac:dyDescent="0.3">
      <c r="A44" s="7" t="s">
        <v>103</v>
      </c>
      <c r="B44" s="8">
        <f>B42/$B$2</f>
        <v>159391550.76923078</v>
      </c>
      <c r="C44" s="8">
        <f>C42/$B$2</f>
        <v>118513794.46153846</v>
      </c>
      <c r="D44" s="20"/>
      <c r="F44" s="7" t="s">
        <v>122</v>
      </c>
      <c r="G44" s="180">
        <f>(G37-G36)*G34*12</f>
        <v>1376354.9999999998</v>
      </c>
      <c r="H44" s="181">
        <f>IF('1. Application Info'!$B$34="Yes",($H$10-$H$9)*$H$7*12,0)</f>
        <v>0</v>
      </c>
      <c r="K44" s="7" t="s">
        <v>103</v>
      </c>
      <c r="L44" s="8">
        <f>L42/$B$2</f>
        <v>8349261.538461538</v>
      </c>
      <c r="M44" s="8">
        <f>M42/$B$2</f>
        <v>7339046.153846154</v>
      </c>
      <c r="N44" s="20"/>
      <c r="P44" s="7" t="s">
        <v>122</v>
      </c>
      <c r="Q44" s="180">
        <f>(Q37-Q36)*Q34*12</f>
        <v>34200</v>
      </c>
      <c r="R44" s="181">
        <f>IF('1. Application Info'!$B$34="Yes",($H$10-$H$9)*$H$7*12,0)</f>
        <v>0</v>
      </c>
    </row>
    <row r="45" spans="1:18" x14ac:dyDescent="0.3">
      <c r="A45" s="7"/>
      <c r="B45" s="8"/>
      <c r="C45" s="8"/>
      <c r="D45" s="20"/>
      <c r="F45" s="7"/>
      <c r="G45" s="177"/>
      <c r="H45" s="178"/>
      <c r="K45" s="7"/>
      <c r="L45" s="8"/>
      <c r="M45" s="8"/>
      <c r="N45" s="20"/>
      <c r="P45" s="7"/>
      <c r="Q45" s="177"/>
      <c r="R45" s="178"/>
    </row>
    <row r="46" spans="1:18" x14ac:dyDescent="0.3">
      <c r="A46" s="7" t="s">
        <v>49</v>
      </c>
      <c r="B46" s="8">
        <f>B44*$B$3</f>
        <v>119543663.07692309</v>
      </c>
      <c r="C46" s="8">
        <f>C44*$B$3</f>
        <v>88885345.846153855</v>
      </c>
      <c r="D46" s="20"/>
      <c r="F46" s="7" t="s">
        <v>125</v>
      </c>
      <c r="G46" s="184">
        <f>-PV(6%,'2021Applications'!G40,G44,,)</f>
        <v>20835283.896799676</v>
      </c>
      <c r="H46" s="181" t="e">
        <f>PV(#REF!,NOIBased!$H$9,-NOIBased!$H$15,,)</f>
        <v>#REF!</v>
      </c>
      <c r="K46" s="7" t="s">
        <v>49</v>
      </c>
      <c r="L46" s="8">
        <f>L44*$B$3</f>
        <v>6261946.153846154</v>
      </c>
      <c r="M46" s="8">
        <f>M44*$B$3</f>
        <v>5504284.615384616</v>
      </c>
      <c r="N46" s="20"/>
      <c r="P46" s="7" t="s">
        <v>125</v>
      </c>
      <c r="Q46" s="184" t="e">
        <f>-PV(#REF!,'2021Applications'!Q40,Q44,,)</f>
        <v>#REF!</v>
      </c>
      <c r="R46" s="181" t="e">
        <f>PV(#REF!,NOIBased!$H$9,-NOIBased!$H$15,,)</f>
        <v>#REF!</v>
      </c>
    </row>
    <row r="47" spans="1:18" x14ac:dyDescent="0.3">
      <c r="A47" s="7" t="s">
        <v>48</v>
      </c>
      <c r="B47" s="8">
        <f>B49-B46</f>
        <v>10461833.923076913</v>
      </c>
      <c r="C47" s="8">
        <f>C49-C46</f>
        <v>41120151.153846145</v>
      </c>
      <c r="D47" s="20"/>
      <c r="F47" s="7"/>
      <c r="G47" s="177"/>
      <c r="H47" s="178"/>
      <c r="K47" s="7" t="s">
        <v>48</v>
      </c>
      <c r="L47" s="8">
        <f>L49-L46</f>
        <v>2967933.846153846</v>
      </c>
      <c r="M47" s="8">
        <f>M49-M46</f>
        <v>3725595.384615384</v>
      </c>
      <c r="N47" s="20"/>
      <c r="P47" s="7"/>
      <c r="Q47" s="177"/>
      <c r="R47" s="178"/>
    </row>
    <row r="48" spans="1:18" x14ac:dyDescent="0.3">
      <c r="A48" s="7"/>
      <c r="B48" s="8"/>
      <c r="C48" s="8"/>
      <c r="D48" s="20"/>
      <c r="F48" s="7" t="s">
        <v>128</v>
      </c>
      <c r="G48" s="180">
        <f>G46-G42</f>
        <v>-9823033.3339695558</v>
      </c>
      <c r="H48" s="181"/>
      <c r="K48" s="7"/>
      <c r="L48" s="8"/>
      <c r="M48" s="8"/>
      <c r="N48" s="20"/>
      <c r="P48" s="7" t="s">
        <v>128</v>
      </c>
      <c r="Q48" s="180" t="e">
        <f>Q46-Q42</f>
        <v>#REF!</v>
      </c>
      <c r="R48" s="181"/>
    </row>
    <row r="49" spans="1:18" x14ac:dyDescent="0.3">
      <c r="A49" s="7" t="s">
        <v>46</v>
      </c>
      <c r="B49" s="8">
        <v>130005497</v>
      </c>
      <c r="C49" s="8">
        <v>130005497</v>
      </c>
      <c r="D49" s="20"/>
      <c r="F49" s="7"/>
      <c r="G49" s="177"/>
      <c r="H49" s="178"/>
      <c r="K49" s="7" t="s">
        <v>46</v>
      </c>
      <c r="L49" s="8">
        <v>9229880</v>
      </c>
      <c r="M49" s="8">
        <v>9229880</v>
      </c>
      <c r="N49" s="20"/>
      <c r="P49" s="7"/>
      <c r="Q49" s="177"/>
      <c r="R49" s="178"/>
    </row>
    <row r="50" spans="1:18" x14ac:dyDescent="0.3">
      <c r="A50" s="7"/>
      <c r="B50" s="8"/>
      <c r="C50" s="8"/>
      <c r="D50" s="20"/>
      <c r="F50" s="23" t="s">
        <v>130</v>
      </c>
      <c r="G50" s="185">
        <f>G48/G42</f>
        <v>-0.3204035387862379</v>
      </c>
      <c r="H50" s="186"/>
      <c r="K50" s="7"/>
      <c r="L50" s="8"/>
      <c r="M50" s="8"/>
      <c r="N50" s="20"/>
      <c r="P50" s="23" t="s">
        <v>130</v>
      </c>
      <c r="Q50" s="185" t="e">
        <f>Q48/Q42</f>
        <v>#REF!</v>
      </c>
      <c r="R50" s="186"/>
    </row>
    <row r="51" spans="1:18" x14ac:dyDescent="0.3">
      <c r="A51" s="7" t="s">
        <v>147</v>
      </c>
      <c r="B51" s="8"/>
      <c r="C51" s="8"/>
      <c r="D51" s="44">
        <f>C47-B47</f>
        <v>30658317.230769232</v>
      </c>
      <c r="K51" s="7" t="s">
        <v>147</v>
      </c>
      <c r="L51" s="8"/>
      <c r="M51" s="8"/>
      <c r="N51" s="44">
        <f>M47-L47</f>
        <v>757661.53846153803</v>
      </c>
    </row>
    <row r="52" spans="1:18" x14ac:dyDescent="0.3">
      <c r="A52" s="23" t="s">
        <v>148</v>
      </c>
      <c r="B52" s="45"/>
      <c r="C52" s="45"/>
      <c r="D52" s="46">
        <f>D51/G34</f>
        <v>245266.53784615386</v>
      </c>
      <c r="K52" s="23" t="s">
        <v>148</v>
      </c>
      <c r="L52" s="45"/>
      <c r="M52" s="45"/>
      <c r="N52" s="46">
        <f>N51/Q34</f>
        <v>151532.3076923076</v>
      </c>
    </row>
    <row r="55" spans="1:18" x14ac:dyDescent="0.3">
      <c r="A55" s="49" t="s">
        <v>151</v>
      </c>
      <c r="K55" s="49" t="s">
        <v>152</v>
      </c>
    </row>
    <row r="57" spans="1:18" x14ac:dyDescent="0.3">
      <c r="A57" s="24"/>
      <c r="B57" s="26" t="s">
        <v>144</v>
      </c>
      <c r="C57" s="26" t="s">
        <v>145</v>
      </c>
      <c r="D57" s="27"/>
      <c r="F57" s="170" t="s">
        <v>108</v>
      </c>
      <c r="G57" s="171"/>
      <c r="H57" s="172"/>
      <c r="K57" s="24"/>
      <c r="L57" s="26" t="s">
        <v>144</v>
      </c>
      <c r="M57" s="26" t="s">
        <v>145</v>
      </c>
      <c r="N57" s="27"/>
      <c r="P57" s="170" t="s">
        <v>108</v>
      </c>
      <c r="Q57" s="171"/>
      <c r="R57" s="172"/>
    </row>
    <row r="58" spans="1:18" x14ac:dyDescent="0.3">
      <c r="A58" s="7"/>
      <c r="D58" s="9"/>
      <c r="F58" s="7"/>
      <c r="G58" s="175"/>
      <c r="H58" s="176"/>
      <c r="K58" s="7"/>
      <c r="N58" s="9"/>
      <c r="P58" s="7"/>
      <c r="Q58" s="175"/>
      <c r="R58" s="176"/>
    </row>
    <row r="59" spans="1:18" x14ac:dyDescent="0.3">
      <c r="A59" s="7" t="s">
        <v>111</v>
      </c>
      <c r="B59" s="8">
        <v>8316553.051859594</v>
      </c>
      <c r="C59" s="8">
        <v>8163185.6586000007</v>
      </c>
      <c r="D59" s="20"/>
      <c r="F59" s="7" t="s">
        <v>109</v>
      </c>
      <c r="G59" s="177">
        <v>16</v>
      </c>
      <c r="H59" s="178"/>
      <c r="K59" s="7" t="s">
        <v>111</v>
      </c>
      <c r="L59" s="8">
        <v>6970036.266138766</v>
      </c>
      <c r="M59" s="8">
        <v>6873293.0100571448</v>
      </c>
      <c r="N59" s="20"/>
      <c r="P59" s="7" t="s">
        <v>109</v>
      </c>
      <c r="Q59" s="177">
        <v>12</v>
      </c>
      <c r="R59" s="178"/>
    </row>
    <row r="60" spans="1:18" x14ac:dyDescent="0.3">
      <c r="A60" s="7" t="s">
        <v>115</v>
      </c>
      <c r="B60" s="8">
        <v>800905</v>
      </c>
      <c r="C60" s="8">
        <v>800905</v>
      </c>
      <c r="D60" s="20"/>
      <c r="F60" s="7"/>
      <c r="G60" s="175"/>
      <c r="H60" s="176"/>
      <c r="K60" s="7" t="s">
        <v>115</v>
      </c>
      <c r="L60" s="8">
        <v>261000</v>
      </c>
      <c r="M60" s="8">
        <v>261000</v>
      </c>
      <c r="N60" s="20"/>
      <c r="P60" s="7"/>
      <c r="Q60" s="175"/>
      <c r="R60" s="176"/>
    </row>
    <row r="61" spans="1:18" x14ac:dyDescent="0.3">
      <c r="A61" s="7" t="s">
        <v>146</v>
      </c>
      <c r="B61" s="8">
        <v>63900</v>
      </c>
      <c r="C61" s="8">
        <v>63900</v>
      </c>
      <c r="D61" s="20"/>
      <c r="F61" s="7" t="s">
        <v>110</v>
      </c>
      <c r="G61" s="180">
        <v>1743</v>
      </c>
      <c r="H61" s="181"/>
      <c r="K61" s="7" t="s">
        <v>146</v>
      </c>
      <c r="L61" s="8">
        <v>22800</v>
      </c>
      <c r="M61" s="8">
        <v>22800</v>
      </c>
      <c r="N61" s="20"/>
      <c r="P61" s="7" t="s">
        <v>110</v>
      </c>
      <c r="Q61" s="180">
        <v>1485</v>
      </c>
      <c r="R61" s="181"/>
    </row>
    <row r="62" spans="1:18" ht="15" thickBot="1" x14ac:dyDescent="0.35">
      <c r="A62" s="10" t="s">
        <v>113</v>
      </c>
      <c r="B62" s="6">
        <f>SUM(B59:B61)*2.05%</f>
        <v>188217.84006312166</v>
      </c>
      <c r="C62" s="6">
        <f>SUM(C59:C61)*2.05%</f>
        <v>185073.80850129999</v>
      </c>
      <c r="D62" s="20"/>
      <c r="F62" s="173" t="s">
        <v>112</v>
      </c>
      <c r="G62" s="182">
        <v>2542</v>
      </c>
      <c r="H62" s="183"/>
      <c r="K62" s="10" t="s">
        <v>113</v>
      </c>
      <c r="L62" s="6">
        <f>SUM(L59:L61)*1.75%</f>
        <v>126942.13465742841</v>
      </c>
      <c r="M62" s="6">
        <f>SUM(M59:M61)*1.75%</f>
        <v>125249.12767600005</v>
      </c>
      <c r="N62" s="20"/>
      <c r="P62" s="173" t="s">
        <v>112</v>
      </c>
      <c r="Q62" s="182">
        <v>2157</v>
      </c>
      <c r="R62" s="183"/>
    </row>
    <row r="63" spans="1:18" ht="15" thickTop="1" x14ac:dyDescent="0.3">
      <c r="A63" s="7" t="s">
        <v>94</v>
      </c>
      <c r="B63" s="8">
        <f>SUM(B59:B61)-B62</f>
        <v>8993140.2117964737</v>
      </c>
      <c r="C63" s="8">
        <f>SUM(C59:C61)-C62</f>
        <v>8842916.8500987012</v>
      </c>
      <c r="D63" s="20"/>
      <c r="F63" s="173"/>
      <c r="G63" s="182"/>
      <c r="H63" s="183"/>
      <c r="K63" s="7" t="s">
        <v>94</v>
      </c>
      <c r="L63" s="8">
        <f>SUM(L59:L61)-L62</f>
        <v>7126894.1314813374</v>
      </c>
      <c r="M63" s="8">
        <f>SUM(M59:M61)-M62</f>
        <v>7031843.8823811449</v>
      </c>
      <c r="N63" s="20"/>
      <c r="P63" s="173"/>
      <c r="Q63" s="182"/>
      <c r="R63" s="183"/>
    </row>
    <row r="64" spans="1:18" x14ac:dyDescent="0.3">
      <c r="A64" s="7"/>
      <c r="B64" s="8"/>
      <c r="C64" s="8"/>
      <c r="D64" s="20"/>
      <c r="F64" s="7"/>
      <c r="G64" s="175"/>
      <c r="H64" s="176"/>
      <c r="K64" s="7"/>
      <c r="L64" s="8"/>
      <c r="M64" s="8"/>
      <c r="N64" s="20"/>
      <c r="P64" s="7"/>
      <c r="Q64" s="175"/>
      <c r="R64" s="176"/>
    </row>
    <row r="65" spans="1:18" x14ac:dyDescent="0.3">
      <c r="A65" s="7" t="s">
        <v>119</v>
      </c>
      <c r="B65" s="8">
        <v>2694089</v>
      </c>
      <c r="C65" s="8">
        <v>2694089</v>
      </c>
      <c r="D65" s="20"/>
      <c r="F65" s="7" t="s">
        <v>116</v>
      </c>
      <c r="G65" s="177">
        <v>41</v>
      </c>
      <c r="H65" s="178"/>
      <c r="K65" s="7" t="s">
        <v>119</v>
      </c>
      <c r="L65" s="8">
        <v>2219213</v>
      </c>
      <c r="M65" s="8">
        <v>2219213</v>
      </c>
      <c r="N65" s="20"/>
      <c r="P65" s="7" t="s">
        <v>116</v>
      </c>
      <c r="Q65" s="177">
        <v>41</v>
      </c>
      <c r="R65" s="178"/>
    </row>
    <row r="66" spans="1:18" ht="15" thickBot="1" x14ac:dyDescent="0.35">
      <c r="A66" s="10"/>
      <c r="B66" s="6"/>
      <c r="C66" s="6"/>
      <c r="D66" s="20"/>
      <c r="F66" s="7"/>
      <c r="G66" s="177"/>
      <c r="H66" s="178"/>
      <c r="K66" s="10"/>
      <c r="L66" s="6"/>
      <c r="M66" s="6"/>
      <c r="N66" s="20"/>
      <c r="P66" s="7"/>
      <c r="Q66" s="177"/>
      <c r="R66" s="178"/>
    </row>
    <row r="67" spans="1:18" ht="15" thickTop="1" x14ac:dyDescent="0.3">
      <c r="A67" s="7" t="s">
        <v>121</v>
      </c>
      <c r="B67" s="8">
        <f>B63-B65</f>
        <v>6299051.2117964737</v>
      </c>
      <c r="C67" s="8">
        <f>C63-C65</f>
        <v>6148827.8500987012</v>
      </c>
      <c r="D67" s="20"/>
      <c r="F67" s="7" t="s">
        <v>120</v>
      </c>
      <c r="G67" s="179">
        <f>D76</f>
        <v>3466692.9622562826</v>
      </c>
      <c r="H67" s="178"/>
      <c r="K67" s="7" t="s">
        <v>121</v>
      </c>
      <c r="L67" s="8">
        <f>L63-L65</f>
        <v>4907681.1314813374</v>
      </c>
      <c r="M67" s="8">
        <f>M63-M65</f>
        <v>4812630.8823811449</v>
      </c>
      <c r="N67" s="20"/>
      <c r="P67" s="7" t="s">
        <v>120</v>
      </c>
      <c r="Q67" s="179">
        <f>N76</f>
        <v>2193467.2869275212</v>
      </c>
      <c r="R67" s="178"/>
    </row>
    <row r="68" spans="1:18" x14ac:dyDescent="0.3">
      <c r="A68" s="7"/>
      <c r="B68" s="8"/>
      <c r="C68" s="8"/>
      <c r="D68" s="20"/>
      <c r="F68" s="7"/>
      <c r="G68" s="177"/>
      <c r="H68" s="178"/>
      <c r="K68" s="7"/>
      <c r="L68" s="8"/>
      <c r="M68" s="8"/>
      <c r="N68" s="20"/>
      <c r="P68" s="7"/>
      <c r="Q68" s="177"/>
      <c r="R68" s="178"/>
    </row>
    <row r="69" spans="1:18" x14ac:dyDescent="0.3">
      <c r="A69" s="7" t="s">
        <v>103</v>
      </c>
      <c r="B69" s="8">
        <f>B67/3.25%</f>
        <v>193816960.36296842</v>
      </c>
      <c r="C69" s="8">
        <f>C67/3.25%</f>
        <v>189194703.07996002</v>
      </c>
      <c r="D69" s="20"/>
      <c r="F69" s="7" t="s">
        <v>122</v>
      </c>
      <c r="G69" s="180">
        <f>(G62-G61)*G59*12</f>
        <v>153408</v>
      </c>
      <c r="H69" s="181">
        <f>IF('1. Application Info'!$B$34="Yes",($H$10-$H$9)*$H$7*12,0)</f>
        <v>0</v>
      </c>
      <c r="K69" s="7" t="s">
        <v>103</v>
      </c>
      <c r="L69" s="8">
        <f>L67/$B$2</f>
        <v>151005573.27634883</v>
      </c>
      <c r="M69" s="8">
        <f>M67/$B$2</f>
        <v>148080950.22711214</v>
      </c>
      <c r="N69" s="20"/>
      <c r="P69" s="7" t="s">
        <v>122</v>
      </c>
      <c r="Q69" s="180">
        <f>(Q62-Q61)*Q59*12</f>
        <v>96768</v>
      </c>
      <c r="R69" s="181">
        <f>IF('1. Application Info'!$B$34="Yes",($H$10-$H$9)*$H$7*12,0)</f>
        <v>0</v>
      </c>
    </row>
    <row r="70" spans="1:18" x14ac:dyDescent="0.3">
      <c r="A70" s="7"/>
      <c r="B70" s="8"/>
      <c r="C70" s="8"/>
      <c r="D70" s="20"/>
      <c r="F70" s="7"/>
      <c r="G70" s="177"/>
      <c r="H70" s="178"/>
      <c r="K70" s="7"/>
      <c r="L70" s="8"/>
      <c r="M70" s="8"/>
      <c r="N70" s="20"/>
      <c r="P70" s="7"/>
      <c r="Q70" s="177"/>
      <c r="R70" s="178"/>
    </row>
    <row r="71" spans="1:18" x14ac:dyDescent="0.3">
      <c r="A71" s="7" t="s">
        <v>49</v>
      </c>
      <c r="B71" s="8">
        <f>B69*$B$3</f>
        <v>145362720.2722263</v>
      </c>
      <c r="C71" s="8">
        <f>C69*$B$3</f>
        <v>141896027.30997002</v>
      </c>
      <c r="D71" s="20"/>
      <c r="F71" s="7" t="s">
        <v>125</v>
      </c>
      <c r="G71" s="184">
        <f>-PV(6%,'2021Applications'!G65,G69,,)</f>
        <v>2322292.7457234836</v>
      </c>
      <c r="H71" s="181" t="e">
        <f>PV(#REF!,NOIBased!$H$9,-NOIBased!$H$15,,)</f>
        <v>#REF!</v>
      </c>
      <c r="K71" s="7" t="s">
        <v>49</v>
      </c>
      <c r="L71" s="8">
        <f>L69*$B$3</f>
        <v>113254179.95726162</v>
      </c>
      <c r="M71" s="8">
        <f>M69*$B$3</f>
        <v>111060712.6703341</v>
      </c>
      <c r="N71" s="20"/>
      <c r="P71" s="7" t="s">
        <v>125</v>
      </c>
      <c r="Q71" s="184">
        <f>-PV(6%,'2021Applications'!Q65,Q69,,)</f>
        <v>1464875.5242110586</v>
      </c>
      <c r="R71" s="181" t="e">
        <f>PV(#REF!,NOIBased!$H$9,-NOIBased!$H$15,,)</f>
        <v>#REF!</v>
      </c>
    </row>
    <row r="72" spans="1:18" x14ac:dyDescent="0.3">
      <c r="A72" s="7" t="s">
        <v>48</v>
      </c>
      <c r="B72" s="8">
        <f>B74-B71</f>
        <v>19645991.727773696</v>
      </c>
      <c r="C72" s="8">
        <f>C74-C71</f>
        <v>23112684.690029979</v>
      </c>
      <c r="D72" s="20"/>
      <c r="F72" s="7"/>
      <c r="G72" s="177"/>
      <c r="H72" s="178"/>
      <c r="K72" s="7" t="s">
        <v>48</v>
      </c>
      <c r="L72" s="8">
        <f>L74-L71</f>
        <v>13257678.042738378</v>
      </c>
      <c r="M72" s="8">
        <f>M74-M71</f>
        <v>15451145.329665899</v>
      </c>
      <c r="N72" s="20"/>
      <c r="P72" s="7"/>
      <c r="Q72" s="177"/>
      <c r="R72" s="178"/>
    </row>
    <row r="73" spans="1:18" x14ac:dyDescent="0.3">
      <c r="A73" s="7"/>
      <c r="B73" s="8"/>
      <c r="C73" s="8"/>
      <c r="D73" s="20"/>
      <c r="F73" s="7" t="s">
        <v>128</v>
      </c>
      <c r="G73" s="180">
        <f>G71-G67</f>
        <v>-1144400.2165327989</v>
      </c>
      <c r="H73" s="181"/>
      <c r="K73" s="7"/>
      <c r="L73" s="8"/>
      <c r="M73" s="8"/>
      <c r="N73" s="20"/>
      <c r="P73" s="7" t="s">
        <v>128</v>
      </c>
      <c r="Q73" s="180">
        <f>Q71-Q67</f>
        <v>-728591.7627164626</v>
      </c>
      <c r="R73" s="181"/>
    </row>
    <row r="74" spans="1:18" x14ac:dyDescent="0.3">
      <c r="A74" s="7" t="s">
        <v>46</v>
      </c>
      <c r="B74" s="8">
        <v>165008712</v>
      </c>
      <c r="C74" s="8">
        <v>165008712</v>
      </c>
      <c r="D74" s="20"/>
      <c r="F74" s="7"/>
      <c r="G74" s="177"/>
      <c r="H74" s="178"/>
      <c r="K74" s="7" t="s">
        <v>46</v>
      </c>
      <c r="L74" s="8">
        <v>126511858</v>
      </c>
      <c r="M74" s="8">
        <v>126511858</v>
      </c>
      <c r="N74" s="20"/>
      <c r="P74" s="7"/>
      <c r="Q74" s="177"/>
      <c r="R74" s="178"/>
    </row>
    <row r="75" spans="1:18" x14ac:dyDescent="0.3">
      <c r="A75" s="7"/>
      <c r="B75" s="8"/>
      <c r="C75" s="8"/>
      <c r="D75" s="20"/>
      <c r="F75" s="23" t="s">
        <v>130</v>
      </c>
      <c r="G75" s="185">
        <f>G73/G67</f>
        <v>-0.3301129430822079</v>
      </c>
      <c r="H75" s="186"/>
      <c r="K75" s="7"/>
      <c r="L75" s="8"/>
      <c r="M75" s="8"/>
      <c r="N75" s="20"/>
      <c r="P75" s="23" t="s">
        <v>130</v>
      </c>
      <c r="Q75" s="185">
        <f>Q73/Q67</f>
        <v>-0.33216440794839969</v>
      </c>
      <c r="R75" s="186"/>
    </row>
    <row r="76" spans="1:18" x14ac:dyDescent="0.3">
      <c r="A76" s="7" t="s">
        <v>147</v>
      </c>
      <c r="B76" s="8"/>
      <c r="C76" s="8"/>
      <c r="D76" s="44">
        <f>C72-B72</f>
        <v>3466692.9622562826</v>
      </c>
      <c r="K76" s="7" t="s">
        <v>147</v>
      </c>
      <c r="L76" s="8"/>
      <c r="M76" s="8"/>
      <c r="N76" s="44">
        <f>M72-L72</f>
        <v>2193467.2869275212</v>
      </c>
    </row>
    <row r="77" spans="1:18" x14ac:dyDescent="0.3">
      <c r="A77" s="23" t="s">
        <v>148</v>
      </c>
      <c r="B77" s="45"/>
      <c r="C77" s="45"/>
      <c r="D77" s="46">
        <f>D76/G59</f>
        <v>216668.31014101766</v>
      </c>
      <c r="K77" s="23" t="s">
        <v>148</v>
      </c>
      <c r="L77" s="45"/>
      <c r="M77" s="45"/>
      <c r="N77" s="46">
        <f>N76/Q59</f>
        <v>182788.94057729343</v>
      </c>
    </row>
  </sheetData>
  <mergeCells count="114">
    <mergeCell ref="Q72:R72"/>
    <mergeCell ref="Q73:R73"/>
    <mergeCell ref="Q74:R74"/>
    <mergeCell ref="Q75:R75"/>
    <mergeCell ref="Q64:R64"/>
    <mergeCell ref="Q65:R65"/>
    <mergeCell ref="Q66:R66"/>
    <mergeCell ref="Q67:R67"/>
    <mergeCell ref="Q68:R68"/>
    <mergeCell ref="Q69:R69"/>
    <mergeCell ref="P57:R57"/>
    <mergeCell ref="Q58:R58"/>
    <mergeCell ref="Q59:R59"/>
    <mergeCell ref="Q60:R60"/>
    <mergeCell ref="Q61:R61"/>
    <mergeCell ref="P62:P63"/>
    <mergeCell ref="Q62:R63"/>
    <mergeCell ref="G70:H70"/>
    <mergeCell ref="G71:H71"/>
    <mergeCell ref="F57:H57"/>
    <mergeCell ref="G58:H58"/>
    <mergeCell ref="G59:H59"/>
    <mergeCell ref="G60:H60"/>
    <mergeCell ref="G61:H61"/>
    <mergeCell ref="F62:F63"/>
    <mergeCell ref="G62:H63"/>
    <mergeCell ref="Q70:R70"/>
    <mergeCell ref="Q71:R71"/>
    <mergeCell ref="G72:H72"/>
    <mergeCell ref="G73:H73"/>
    <mergeCell ref="G74:H74"/>
    <mergeCell ref="G75:H75"/>
    <mergeCell ref="G64:H64"/>
    <mergeCell ref="G65:H65"/>
    <mergeCell ref="G66:H66"/>
    <mergeCell ref="G67:H67"/>
    <mergeCell ref="G68:H68"/>
    <mergeCell ref="G69:H69"/>
    <mergeCell ref="Q45:R45"/>
    <mergeCell ref="Q46:R46"/>
    <mergeCell ref="Q47:R47"/>
    <mergeCell ref="Q48:R48"/>
    <mergeCell ref="Q49:R49"/>
    <mergeCell ref="Q50:R50"/>
    <mergeCell ref="Q39:R39"/>
    <mergeCell ref="Q40:R40"/>
    <mergeCell ref="Q41:R41"/>
    <mergeCell ref="Q42:R42"/>
    <mergeCell ref="Q43:R43"/>
    <mergeCell ref="Q44:R44"/>
    <mergeCell ref="P32:R32"/>
    <mergeCell ref="Q33:R33"/>
    <mergeCell ref="Q34:R34"/>
    <mergeCell ref="Q35:R35"/>
    <mergeCell ref="Q36:R36"/>
    <mergeCell ref="P37:P38"/>
    <mergeCell ref="Q37:R38"/>
    <mergeCell ref="Q20:R20"/>
    <mergeCell ref="Q21:R21"/>
    <mergeCell ref="Q22:R22"/>
    <mergeCell ref="Q23:R23"/>
    <mergeCell ref="Q24:R24"/>
    <mergeCell ref="Q25:R25"/>
    <mergeCell ref="Q14:R14"/>
    <mergeCell ref="Q15:R15"/>
    <mergeCell ref="Q16:R16"/>
    <mergeCell ref="Q17:R17"/>
    <mergeCell ref="Q18:R18"/>
    <mergeCell ref="Q19:R19"/>
    <mergeCell ref="P7:R7"/>
    <mergeCell ref="Q8:R8"/>
    <mergeCell ref="Q9:R9"/>
    <mergeCell ref="Q10:R10"/>
    <mergeCell ref="Q11:R11"/>
    <mergeCell ref="P12:P13"/>
    <mergeCell ref="Q12:R13"/>
    <mergeCell ref="G45:H45"/>
    <mergeCell ref="G46:H46"/>
    <mergeCell ref="G47:H47"/>
    <mergeCell ref="G48:H48"/>
    <mergeCell ref="G49:H49"/>
    <mergeCell ref="G50:H50"/>
    <mergeCell ref="G39:H39"/>
    <mergeCell ref="G40:H40"/>
    <mergeCell ref="G41:H41"/>
    <mergeCell ref="G42:H42"/>
    <mergeCell ref="G43:H43"/>
    <mergeCell ref="G44:H44"/>
    <mergeCell ref="F32:H32"/>
    <mergeCell ref="G33:H33"/>
    <mergeCell ref="G34:H34"/>
    <mergeCell ref="G35:H35"/>
    <mergeCell ref="G36:H36"/>
    <mergeCell ref="F37:F38"/>
    <mergeCell ref="G37:H38"/>
    <mergeCell ref="G20:H20"/>
    <mergeCell ref="G21:H21"/>
    <mergeCell ref="G22:H22"/>
    <mergeCell ref="G23:H23"/>
    <mergeCell ref="G24:H24"/>
    <mergeCell ref="G25:H25"/>
    <mergeCell ref="G14:H14"/>
    <mergeCell ref="G15:H15"/>
    <mergeCell ref="G16:H16"/>
    <mergeCell ref="G17:H17"/>
    <mergeCell ref="G18:H18"/>
    <mergeCell ref="G19:H19"/>
    <mergeCell ref="F7:H7"/>
    <mergeCell ref="G8:H8"/>
    <mergeCell ref="G9:H9"/>
    <mergeCell ref="G10:H10"/>
    <mergeCell ref="G11:H11"/>
    <mergeCell ref="F12:F13"/>
    <mergeCell ref="G12:H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4d0d070-2d72-4ef9-ad55-8d68640bf102">
      <UserInfo>
        <DisplayName>Lim, Rolanda</DisplayName>
        <AccountId>14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A5087418C767498FFBB67AF9C238F6" ma:contentTypeVersion="12" ma:contentTypeDescription="Create a new document." ma:contentTypeScope="" ma:versionID="c2b4f9a4b323f12b0fcbbbe686087009">
  <xsd:schema xmlns:xsd="http://www.w3.org/2001/XMLSchema" xmlns:xs="http://www.w3.org/2001/XMLSchema" xmlns:p="http://schemas.microsoft.com/office/2006/metadata/properties" xmlns:ns2="c110a3fe-b160-4550-a04c-7bfc33616840" xmlns:ns3="64d0d070-2d72-4ef9-ad55-8d68640bf102" targetNamespace="http://schemas.microsoft.com/office/2006/metadata/properties" ma:root="true" ma:fieldsID="1eaf8fb217ae1016e8faa19361df17f5" ns2:_="" ns3:_="">
    <xsd:import namespace="c110a3fe-b160-4550-a04c-7bfc33616840"/>
    <xsd:import namespace="64d0d070-2d72-4ef9-ad55-8d68640bf1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0a3fe-b160-4550-a04c-7bfc336168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d0d070-2d72-4ef9-ad55-8d68640bf1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21CC9C-D14C-4FBB-B64A-E1D54CFAF75B}">
  <ds:schemaRefs>
    <ds:schemaRef ds:uri="http://schemas.microsoft.com/office/2006/metadata/properties"/>
    <ds:schemaRef ds:uri="http://schemas.microsoft.com/office/infopath/2007/PartnerControls"/>
    <ds:schemaRef ds:uri="64d0d070-2d72-4ef9-ad55-8d68640bf102"/>
  </ds:schemaRefs>
</ds:datastoreItem>
</file>

<file path=customXml/itemProps2.xml><?xml version="1.0" encoding="utf-8"?>
<ds:datastoreItem xmlns:ds="http://schemas.openxmlformats.org/officeDocument/2006/customXml" ds:itemID="{FC895DCD-518D-4383-B5C4-B7510CE9E8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10a3fe-b160-4550-a04c-7bfc33616840"/>
    <ds:schemaRef ds:uri="64d0d070-2d72-4ef9-ad55-8d68640bf1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87A4B7-9070-47E6-A7E8-9926DB25F2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Application Info</vt:lpstr>
      <vt:lpstr>2. Capital Budget </vt:lpstr>
      <vt:lpstr>3. Proposed Rents</vt:lpstr>
      <vt:lpstr>4. Operating Budget</vt:lpstr>
      <vt:lpstr>NOIBased</vt:lpstr>
      <vt:lpstr>2021Applications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Lim, Rolanda</dc:creator>
  <cp:keywords/>
  <dc:description/>
  <cp:lastModifiedBy>Claire de Souza</cp:lastModifiedBy>
  <cp:revision/>
  <dcterms:created xsi:type="dcterms:W3CDTF">2022-07-08T14:53:27Z</dcterms:created>
  <dcterms:modified xsi:type="dcterms:W3CDTF">2026-08-11T14:13:15Z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0x010100ECA5087418C767498FFBB67AF9C238F6</vt:lpwstr>
  </property>
  <property fmtid="{D5CDD505-2E9C-101B-9397-08002B2CF9AE}" pid="3" name="SIZADocumentType">
    <vt:lpwstr/>
  </property>
  <property fmtid="{D5CDD505-2E9C-101B-9397-08002B2CF9AE}" pid="4" name="SIZAService">
    <vt:lpwstr/>
  </property>
  <property fmtid="{D5CDD505-2E9C-101B-9397-08002B2CF9AE}" pid="5" name="SIZADivision">
    <vt:lpwstr>7;#Housing Development Office|b3d8b0e0-5c86-429e-aca3-ab0dca2ff8dd</vt:lpwstr>
  </property>
  <property fmtid="{D5CDD505-2E9C-101B-9397-08002B2CF9AE}" pid="6" name="MediaServiceImageTags">
    <vt:lpwstr/>
  </property>
  <property fmtid="{D5CDD505-2E9C-101B-9397-08002B2CF9AE}" pid="7" name="SIZASection">
    <vt:lpwstr>6;#Housing Development Office|5c6c2b97-4f2a-44a1-bc2e-e5f8b59a8c4f</vt:lpwstr>
  </property>
  <property fmtid="{D5CDD505-2E9C-101B-9397-08002B2CF9AE}" pid="8" name="TaxCatchAll">
    <vt:lpwstr>6;#Housing Development Office|5c6c2b97-4f2a-44a1-bc2e-e5f8b59a8c4f;#4;#Human Services|118fdf37-3eb0-4f3d-9794-08c6dc12769c;#7;#Housing Development Office|b3d8b0e0-5c86-429e-aca3-ab0dca2ff8dd</vt:lpwstr>
  </property>
  <property fmtid="{D5CDD505-2E9C-101B-9397-08002B2CF9AE}" pid="9" name="SIZADepartment">
    <vt:lpwstr>4;#Human Services|118fdf37-3eb0-4f3d-9794-08c6dc12769c</vt:lpwstr>
  </property>
  <property fmtid="{D5CDD505-2E9C-101B-9397-08002B2CF9AE}" pid="10" name="SIZADocumentSubType">
    <vt:lpwstr/>
  </property>
  <property fmtid="{D5CDD505-2E9C-101B-9397-08002B2CF9AE}" pid="11" name="SIZAKeywords">
    <vt:lpwstr/>
  </property>
  <property fmtid="{D5CDD505-2E9C-101B-9397-08002B2CF9AE}" pid="12" name="SIZARecordClassification">
    <vt:lpwstr/>
  </property>
</Properties>
</file>